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olores\Desktop\izvršenje2024\"/>
    </mc:Choice>
  </mc:AlternateContent>
  <xr:revisionPtr revIDLastSave="0" documentId="13_ncr:1_{D07FD20F-93DC-436A-80CE-1AB6FABBE85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Izvještaj po organizacijskoj " sheetId="12" r:id="rId7"/>
    <sheet name="Izvještaj po programskoj" sheetId="7" r:id="rId8"/>
    <sheet name="List1" sheetId="11" r:id="rId9"/>
  </sheets>
  <definedNames>
    <definedName name="_xlnm.Print_Area" localSheetId="1">' Račun prihoda i rashoda'!$B$1:$I$90</definedName>
    <definedName name="_xlnm.Print_Area" localSheetId="0">SAŽETAK!$B$1:$L$25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0" l="1"/>
  <c r="H16" i="10"/>
  <c r="E6" i="10"/>
  <c r="D6" i="10"/>
  <c r="H20" i="10"/>
  <c r="G20" i="10"/>
  <c r="H19" i="10"/>
  <c r="G19" i="10"/>
  <c r="H18" i="10"/>
  <c r="G18" i="10"/>
  <c r="F6" i="10"/>
  <c r="C6" i="10"/>
  <c r="K15" i="1"/>
  <c r="L15" i="1"/>
  <c r="H60" i="3"/>
  <c r="H59" i="3" s="1"/>
  <c r="J60" i="3"/>
  <c r="J59" i="3" s="1"/>
  <c r="I60" i="3"/>
  <c r="I59" i="3" s="1"/>
  <c r="F30" i="5"/>
  <c r="E30" i="5"/>
  <c r="E28" i="5" s="1"/>
  <c r="E20" i="5" s="1"/>
  <c r="D30" i="5"/>
  <c r="D28" i="5" s="1"/>
  <c r="D20" i="5" s="1"/>
  <c r="C20" i="5"/>
  <c r="D23" i="5"/>
  <c r="F31" i="5"/>
  <c r="E31" i="5"/>
  <c r="D31" i="5"/>
  <c r="F32" i="5"/>
  <c r="E32" i="5"/>
  <c r="D32" i="5"/>
  <c r="F23" i="5"/>
  <c r="E23" i="5"/>
  <c r="H16" i="5"/>
  <c r="F14" i="5"/>
  <c r="F13" i="5" s="1"/>
  <c r="E14" i="5"/>
  <c r="E13" i="5"/>
  <c r="D14" i="5"/>
  <c r="D13" i="5" s="1"/>
  <c r="G38" i="3"/>
  <c r="G37" i="3" s="1"/>
  <c r="G11" i="3"/>
  <c r="G10" i="3"/>
  <c r="F105" i="7"/>
  <c r="F104" i="7"/>
  <c r="F102" i="7"/>
  <c r="F101" i="7"/>
  <c r="F97" i="7"/>
  <c r="F95" i="7"/>
  <c r="F90" i="7"/>
  <c r="F87" i="7"/>
  <c r="F82" i="7"/>
  <c r="F80" i="7"/>
  <c r="F76" i="7"/>
  <c r="F72" i="7"/>
  <c r="F67" i="7"/>
  <c r="F66" i="7"/>
  <c r="F43" i="7"/>
  <c r="F42" i="7" s="1"/>
  <c r="F40" i="7"/>
  <c r="F38" i="7"/>
  <c r="F36" i="7"/>
  <c r="F32" i="7"/>
  <c r="F29" i="7"/>
  <c r="F28" i="7" s="1"/>
  <c r="I92" i="7"/>
  <c r="H105" i="7"/>
  <c r="G105" i="7"/>
  <c r="H104" i="7"/>
  <c r="G104" i="7"/>
  <c r="H102" i="7"/>
  <c r="G102" i="7"/>
  <c r="H97" i="7"/>
  <c r="G97" i="7"/>
  <c r="H90" i="7"/>
  <c r="G90" i="7"/>
  <c r="H82" i="7"/>
  <c r="G82" i="7"/>
  <c r="H80" i="7"/>
  <c r="G80" i="7"/>
  <c r="H76" i="7"/>
  <c r="G76" i="7"/>
  <c r="H72" i="7"/>
  <c r="G72" i="7"/>
  <c r="H67" i="7"/>
  <c r="G67" i="7"/>
  <c r="H43" i="7"/>
  <c r="H42" i="7" s="1"/>
  <c r="G43" i="7"/>
  <c r="I55" i="7"/>
  <c r="G42" i="7"/>
  <c r="H36" i="7"/>
  <c r="G36" i="7"/>
  <c r="H32" i="7"/>
  <c r="H29" i="7" s="1"/>
  <c r="G32" i="7"/>
  <c r="H40" i="7"/>
  <c r="H38" i="7"/>
  <c r="G40" i="7"/>
  <c r="G38" i="7"/>
  <c r="H17" i="7"/>
  <c r="G17" i="7"/>
  <c r="F17" i="7"/>
  <c r="H39" i="3"/>
  <c r="J50" i="3"/>
  <c r="J49" i="3"/>
  <c r="J85" i="3"/>
  <c r="I85" i="3"/>
  <c r="H86" i="3"/>
  <c r="H85" i="3" s="1"/>
  <c r="J39" i="3"/>
  <c r="H68" i="3"/>
  <c r="I68" i="3"/>
  <c r="J68" i="3"/>
  <c r="J45" i="3"/>
  <c r="I45" i="3"/>
  <c r="H45" i="3"/>
  <c r="J43" i="3"/>
  <c r="I43" i="3"/>
  <c r="H43" i="3"/>
  <c r="J40" i="3"/>
  <c r="I40" i="3"/>
  <c r="I39" i="3" s="1"/>
  <c r="H40" i="3"/>
  <c r="I50" i="3"/>
  <c r="H50" i="3"/>
  <c r="J46" i="3"/>
  <c r="I46" i="3"/>
  <c r="H46" i="3"/>
  <c r="J41" i="3"/>
  <c r="I41" i="3"/>
  <c r="H41" i="3"/>
  <c r="J44" i="3"/>
  <c r="I44" i="3"/>
  <c r="H44" i="3"/>
  <c r="J54" i="3"/>
  <c r="I54" i="3"/>
  <c r="H54" i="3"/>
  <c r="J53" i="3"/>
  <c r="I53" i="3"/>
  <c r="H53" i="3"/>
  <c r="J90" i="3"/>
  <c r="H90" i="3"/>
  <c r="L62" i="3"/>
  <c r="K65" i="3"/>
  <c r="L65" i="3"/>
  <c r="J74" i="3"/>
  <c r="J73" i="3" s="1"/>
  <c r="I74" i="3"/>
  <c r="I73" i="3" s="1"/>
  <c r="H74" i="3"/>
  <c r="H73" i="3" s="1"/>
  <c r="H77" i="3"/>
  <c r="J55" i="3"/>
  <c r="I55" i="3"/>
  <c r="H55" i="3"/>
  <c r="J51" i="3"/>
  <c r="I51" i="3"/>
  <c r="H51" i="3"/>
  <c r="I49" i="3"/>
  <c r="H49" i="3"/>
  <c r="J57" i="3"/>
  <c r="I57" i="3"/>
  <c r="H57" i="3"/>
  <c r="J11" i="3"/>
  <c r="J10" i="3" s="1"/>
  <c r="I11" i="3"/>
  <c r="I10" i="3" s="1"/>
  <c r="H11" i="3"/>
  <c r="H10" i="3" s="1"/>
  <c r="F8" i="7"/>
  <c r="G8" i="7"/>
  <c r="H8" i="7"/>
  <c r="L14" i="1"/>
  <c r="K14" i="1"/>
  <c r="L13" i="1"/>
  <c r="K13" i="1"/>
  <c r="L12" i="1"/>
  <c r="K12" i="1"/>
  <c r="L11" i="1"/>
  <c r="K11" i="1"/>
  <c r="L10" i="1"/>
  <c r="K10" i="1"/>
  <c r="L9" i="1"/>
  <c r="K9" i="1"/>
  <c r="I52" i="3" l="1"/>
  <c r="J52" i="3"/>
  <c r="G101" i="7"/>
  <c r="G95" i="7"/>
  <c r="G87" i="7" s="1"/>
  <c r="H101" i="7"/>
  <c r="H95" i="7" s="1"/>
  <c r="H48" i="3"/>
  <c r="F28" i="5"/>
  <c r="F20" i="5" s="1"/>
  <c r="H66" i="7"/>
  <c r="G66" i="7"/>
  <c r="H28" i="7"/>
  <c r="G29" i="7"/>
  <c r="G28" i="7" s="1"/>
  <c r="J48" i="3"/>
  <c r="I48" i="3"/>
  <c r="I47" i="3"/>
  <c r="I38" i="3" s="1"/>
  <c r="I37" i="3" s="1"/>
  <c r="H52" i="3"/>
  <c r="H47" i="3" s="1"/>
  <c r="H38" i="3" s="1"/>
  <c r="H37" i="3" s="1"/>
  <c r="H17" i="10"/>
  <c r="G17" i="10"/>
  <c r="H15" i="10"/>
  <c r="G15" i="10"/>
  <c r="H14" i="10"/>
  <c r="G14" i="10"/>
  <c r="H13" i="10"/>
  <c r="G13" i="10"/>
  <c r="H12" i="10"/>
  <c r="G12" i="10"/>
  <c r="H11" i="10"/>
  <c r="G11" i="10"/>
  <c r="H10" i="10"/>
  <c r="G10" i="10"/>
  <c r="H9" i="10"/>
  <c r="G9" i="10"/>
  <c r="H8" i="10"/>
  <c r="G8" i="10"/>
  <c r="H7" i="10"/>
  <c r="G7" i="10"/>
  <c r="H6" i="10"/>
  <c r="G6" i="10"/>
  <c r="I95" i="7" l="1"/>
  <c r="H87" i="7"/>
  <c r="J47" i="3"/>
  <c r="J38" i="3" s="1"/>
  <c r="J37" i="3" s="1"/>
  <c r="I10" i="12"/>
  <c r="I9" i="12"/>
  <c r="I8" i="12"/>
  <c r="I7" i="12"/>
  <c r="I105" i="7" l="1"/>
  <c r="I104" i="7"/>
  <c r="I103" i="7"/>
  <c r="I102" i="7"/>
  <c r="I101" i="7"/>
  <c r="I98" i="7"/>
  <c r="I97" i="7"/>
  <c r="I91" i="7"/>
  <c r="I90" i="7"/>
  <c r="I88" i="7"/>
  <c r="I87" i="7"/>
  <c r="I81" i="7"/>
  <c r="I80" i="7"/>
  <c r="I73" i="7"/>
  <c r="I72" i="7"/>
  <c r="I71" i="7"/>
  <c r="I70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36" i="7"/>
  <c r="I39" i="7"/>
  <c r="I38" i="7"/>
  <c r="I37" i="7"/>
  <c r="I35" i="7"/>
  <c r="I34" i="7"/>
  <c r="I33" i="7"/>
  <c r="I32" i="7"/>
  <c r="I31" i="7"/>
  <c r="I30" i="7"/>
  <c r="I29" i="7"/>
  <c r="I28" i="7"/>
  <c r="I21" i="7"/>
  <c r="I20" i="7"/>
  <c r="I19" i="7"/>
  <c r="I18" i="7"/>
  <c r="I17" i="7"/>
  <c r="I13" i="7"/>
  <c r="I12" i="7"/>
  <c r="I11" i="7"/>
  <c r="I10" i="7"/>
  <c r="I16" i="7"/>
  <c r="I15" i="7"/>
  <c r="I14" i="7"/>
  <c r="I8" i="7"/>
  <c r="I9" i="7"/>
  <c r="H8" i="8"/>
  <c r="H7" i="8"/>
  <c r="H6" i="8"/>
  <c r="G7" i="8"/>
  <c r="G6" i="8"/>
  <c r="H33" i="5" l="1"/>
  <c r="G24" i="5"/>
  <c r="H24" i="5"/>
  <c r="H34" i="5"/>
  <c r="H32" i="5"/>
  <c r="H31" i="5"/>
  <c r="H29" i="5"/>
  <c r="H28" i="5"/>
  <c r="H27" i="5"/>
  <c r="H26" i="5"/>
  <c r="H25" i="5"/>
  <c r="H23" i="5"/>
  <c r="H22" i="5"/>
  <c r="H21" i="5"/>
  <c r="H20" i="5"/>
  <c r="G31" i="5"/>
  <c r="G29" i="5"/>
  <c r="G28" i="5"/>
  <c r="G27" i="5"/>
  <c r="G26" i="5"/>
  <c r="G25" i="5"/>
  <c r="G23" i="5"/>
  <c r="G22" i="5"/>
  <c r="G21" i="5"/>
  <c r="G20" i="5"/>
  <c r="H6" i="5"/>
  <c r="G6" i="5"/>
  <c r="H17" i="5"/>
  <c r="H15" i="5"/>
  <c r="H14" i="5"/>
  <c r="H13" i="5"/>
  <c r="H12" i="5"/>
  <c r="H11" i="5"/>
  <c r="H10" i="5"/>
  <c r="H9" i="5"/>
  <c r="H8" i="5"/>
  <c r="G17" i="5"/>
  <c r="G15" i="5"/>
  <c r="G14" i="5"/>
  <c r="G13" i="5"/>
  <c r="G12" i="5"/>
  <c r="G11" i="5"/>
  <c r="G10" i="5"/>
  <c r="G9" i="5"/>
  <c r="G8" i="5"/>
  <c r="G7" i="5"/>
  <c r="H7" i="5"/>
  <c r="L90" i="3"/>
  <c r="L89" i="3"/>
  <c r="L88" i="3"/>
  <c r="L87" i="3"/>
  <c r="L86" i="3"/>
  <c r="K90" i="3"/>
  <c r="K89" i="3"/>
  <c r="K88" i="3"/>
  <c r="K87" i="3"/>
  <c r="K86" i="3"/>
  <c r="L85" i="3"/>
  <c r="L84" i="3"/>
  <c r="L82" i="3"/>
  <c r="L81" i="3"/>
  <c r="L80" i="3"/>
  <c r="K85" i="3"/>
  <c r="K84" i="3"/>
  <c r="K82" i="3"/>
  <c r="K81" i="3"/>
  <c r="K80" i="3"/>
  <c r="L79" i="3"/>
  <c r="K79" i="3"/>
  <c r="L78" i="3"/>
  <c r="K78" i="3"/>
  <c r="L76" i="3"/>
  <c r="L75" i="3"/>
  <c r="L74" i="3"/>
  <c r="L73" i="3"/>
  <c r="L72" i="3"/>
  <c r="K77" i="3"/>
  <c r="K76" i="3"/>
  <c r="K75" i="3"/>
  <c r="K74" i="3"/>
  <c r="K73" i="3"/>
  <c r="K72" i="3"/>
  <c r="L71" i="3"/>
  <c r="L70" i="3"/>
  <c r="L69" i="3"/>
  <c r="K71" i="3"/>
  <c r="K70" i="3"/>
  <c r="K68" i="3"/>
  <c r="L68" i="3"/>
  <c r="K67" i="3"/>
  <c r="L67" i="3"/>
  <c r="K66" i="3"/>
  <c r="L66" i="3"/>
  <c r="K64" i="3"/>
  <c r="L64" i="3"/>
  <c r="K63" i="3"/>
  <c r="L63" i="3"/>
  <c r="K61" i="3"/>
  <c r="L61" i="3"/>
  <c r="K60" i="3"/>
  <c r="L60" i="3"/>
  <c r="K59" i="3"/>
  <c r="L59" i="3"/>
  <c r="K58" i="3"/>
  <c r="L58" i="3"/>
  <c r="K57" i="3"/>
  <c r="L57" i="3"/>
  <c r="K56" i="3"/>
  <c r="L56" i="3"/>
  <c r="K55" i="3"/>
  <c r="L55" i="3"/>
  <c r="K54" i="3"/>
  <c r="L54" i="3"/>
  <c r="K53" i="3"/>
  <c r="L53" i="3"/>
  <c r="K52" i="3"/>
  <c r="L52" i="3"/>
  <c r="K51" i="3"/>
  <c r="L51" i="3"/>
  <c r="K50" i="3"/>
  <c r="L50" i="3"/>
  <c r="L46" i="3"/>
  <c r="K46" i="3"/>
  <c r="L45" i="3"/>
  <c r="L44" i="3"/>
  <c r="K45" i="3"/>
  <c r="L43" i="3"/>
  <c r="K44" i="3"/>
  <c r="K43" i="3"/>
  <c r="L49" i="3"/>
  <c r="L48" i="3"/>
  <c r="L47" i="3"/>
  <c r="L41" i="3"/>
  <c r="L40" i="3"/>
  <c r="L39" i="3"/>
  <c r="K49" i="3"/>
  <c r="K48" i="3"/>
  <c r="K47" i="3"/>
  <c r="K41" i="3"/>
  <c r="K40" i="3"/>
  <c r="K39" i="3"/>
  <c r="L33" i="3"/>
  <c r="K33" i="3"/>
  <c r="L32" i="3"/>
  <c r="K32" i="3"/>
  <c r="L31" i="3"/>
  <c r="K31" i="3"/>
  <c r="L30" i="3"/>
  <c r="K30" i="3"/>
  <c r="L29" i="3"/>
  <c r="K29" i="3"/>
  <c r="L28" i="3"/>
  <c r="K28" i="3"/>
  <c r="K27" i="3"/>
  <c r="L27" i="3"/>
  <c r="L26" i="3"/>
  <c r="K26" i="3"/>
  <c r="L25" i="3"/>
  <c r="K25" i="3"/>
  <c r="K24" i="3"/>
  <c r="L24" i="3"/>
  <c r="L19" i="3"/>
  <c r="L23" i="3"/>
  <c r="L22" i="3"/>
  <c r="L21" i="3"/>
  <c r="K23" i="3"/>
  <c r="K22" i="3"/>
  <c r="K21" i="3"/>
  <c r="K20" i="3"/>
  <c r="L18" i="3"/>
  <c r="K18" i="3"/>
  <c r="L20" i="3"/>
  <c r="L17" i="3"/>
  <c r="K17" i="3"/>
  <c r="L16" i="3"/>
  <c r="L15" i="3"/>
  <c r="L12" i="3"/>
  <c r="K16" i="3"/>
  <c r="K15" i="3"/>
  <c r="K12" i="3"/>
  <c r="K38" i="3" l="1"/>
  <c r="L38" i="3"/>
  <c r="L10" i="3"/>
  <c r="K10" i="3"/>
  <c r="K11" i="3"/>
  <c r="L11" i="3"/>
  <c r="K37" i="3" l="1"/>
  <c r="L37" i="3"/>
</calcChain>
</file>

<file path=xl/sharedStrings.xml><?xml version="1.0" encoding="utf-8"?>
<sst xmlns="http://schemas.openxmlformats.org/spreadsheetml/2006/main" count="373" uniqueCount="218">
  <si>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</si>
  <si>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</si>
  <si>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</si>
  <si>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</si>
  <si>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</si>
  <si>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</si>
  <si>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</si>
  <si>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</si>
  <si>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</si>
  <si>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</si>
  <si>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</si>
  <si>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</si>
  <si>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</si>
  <si>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</si>
  <si>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</si>
  <si>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</si>
  <si>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 xml:space="preserve"> Prihodi od prodaje proizvoda i robe te pruženih usluga i prihodi od donacija</t>
  </si>
  <si>
    <t>1 Opći prihodi i primici</t>
  </si>
  <si>
    <t>11 Opći prihodi i primici</t>
  </si>
  <si>
    <t>….</t>
  </si>
  <si>
    <t>3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</si>
  <si>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</si>
  <si>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</si>
  <si>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</si>
  <si>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</si>
  <si>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</si>
  <si>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</si>
  <si>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</si>
  <si>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</si>
  <si>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</si>
  <si>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</si>
  <si>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</si>
  <si>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</si>
  <si>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</si>
  <si>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</si>
  <si>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</si>
  <si>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</si>
  <si>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</si>
  <si>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</si>
  <si>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</si>
  <si>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</si>
  <si>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</si>
  <si>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</si>
  <si>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</si>
  <si>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</si>
  <si>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</si>
  <si>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</si>
  <si>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</si>
  <si>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</si>
  <si>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 xml:space="preserve">UKUPNO PRIHODI </t>
  </si>
  <si>
    <t>UKUPNO RASHODI</t>
  </si>
  <si>
    <t>UKUPNO PRIHODI</t>
  </si>
  <si>
    <t>INDEKS**</t>
  </si>
  <si>
    <t>RAZLIKA PRIMITAKA I IZDATAKA</t>
  </si>
  <si>
    <t xml:space="preserve"> RAČUN FINANCIRANJA</t>
  </si>
  <si>
    <t xml:space="preserve"> RAČUN PRIHODA I RASHODA </t>
  </si>
  <si>
    <t>IZVJEŠTAJ PO PROGRAMSKOJ KLASIFIKACIJI</t>
  </si>
  <si>
    <t>SAŽETAK RAČUNA FINANCIRANJA</t>
  </si>
  <si>
    <t>SAŽETAK RAČUNA PRIHODA I RASHODA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</si>
  <si>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</si>
  <si>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</si>
  <si>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</si>
  <si>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</si>
  <si>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 xml:space="preserve"> IZVRŠENJE 
N-1. </t>
  </si>
  <si>
    <t xml:space="preserve"> IZVRŠENJE 
N. </t>
  </si>
  <si>
    <t xml:space="preserve">OSTVARENJE/IZVRŠENJE 
N-1. 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</si>
  <si>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</si>
  <si>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</si>
  <si>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</si>
  <si>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Pomoći od izvan proračunskih korisnika</t>
  </si>
  <si>
    <t>Tekuće 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</si>
  <si>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</si>
  <si>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</si>
  <si>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</si>
  <si>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</si>
  <si>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</si>
  <si>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</si>
  <si>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upravnih i administrativnih pristojbi, pristojbi po posebnim propisima i naknade</t>
  </si>
  <si>
    <t>Prihodi po posebnim propisima</t>
  </si>
  <si>
    <t>Ostali nespomenuti prihodi</t>
  </si>
  <si>
    <t>Prihodi od pruženih usluga</t>
  </si>
  <si>
    <t>Prihodi od nadležnog proračuna i od HZZO-a temeljem ugovornih obveza</t>
  </si>
  <si>
    <t>Prihodi iz nadležnog proračuna za finaciranje redovne djelatnosti proračunskih korisnika</t>
  </si>
  <si>
    <t xml:space="preserve">Prihodi iz nadležnog proračuna za finaciranje rashoda poslovanja </t>
  </si>
  <si>
    <t>Plaće za prekovremeni rad</t>
  </si>
  <si>
    <t>Ostali rashodi za zaposlene</t>
  </si>
  <si>
    <t>Doprinosi na plaću</t>
  </si>
  <si>
    <t>Doprinosi za obavezno zdravstveno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</si>
  <si>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</si>
  <si>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</si>
  <si>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</si>
  <si>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</si>
  <si>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</si>
  <si>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</si>
  <si>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</si>
  <si>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Sitan inventar i auto gume</t>
  </si>
  <si>
    <t>Rashodi za usluge</t>
  </si>
  <si>
    <t>Službena, radna i zaštitna odjeća i obuća</t>
  </si>
  <si>
    <t>Usluge telefona, pošte i prijevoza</t>
  </si>
  <si>
    <t>Usluge tekućeg i investicijskog održavanja</t>
  </si>
  <si>
    <t>Komunalne usluge</t>
  </si>
  <si>
    <t>Zdravstvena i veterinarske usluge</t>
  </si>
  <si>
    <t>Računalne usluge</t>
  </si>
  <si>
    <t>Ostale usluge</t>
  </si>
  <si>
    <t>Ostali nespomenuti rashodi poslovanja</t>
  </si>
  <si>
    <t>Premija osiguranja</t>
  </si>
  <si>
    <t>Reprezentacija</t>
  </si>
  <si>
    <t>Članarine i norme</t>
  </si>
  <si>
    <t>Financijski rashodi</t>
  </si>
  <si>
    <t>Ostali financijski rashodi</t>
  </si>
  <si>
    <t>Bankarske usluge i usluge platnog prometa</t>
  </si>
  <si>
    <t>Zatezne kamate</t>
  </si>
  <si>
    <t>Naknade građanima i kućanstvima na temelju osiguranja i druge naknade</t>
  </si>
  <si>
    <t>Ostale naknade građanima i kućanstvima iz proračuna</t>
  </si>
  <si>
    <t>Naknade građanima i kućanstvima u naravi</t>
  </si>
  <si>
    <t>Tekuće donacije</t>
  </si>
  <si>
    <t>Tekuće donacije u naravi</t>
  </si>
  <si>
    <t>Rashodi za nabavu proizvedene dugotrajne imovine</t>
  </si>
  <si>
    <t>Postrojenja i oprema</t>
  </si>
  <si>
    <t>Uredska oprema i namještaj</t>
  </si>
  <si>
    <t xml:space="preserve">Komunikacijska oprema </t>
  </si>
  <si>
    <t>Knjige, umjetnička djela i ostale izložbene vrijednosti</t>
  </si>
  <si>
    <t>Knjige</t>
  </si>
  <si>
    <t>SVEUKUPNO</t>
  </si>
  <si>
    <t>Program: 5501 Srednjoškolsko obrazovanje</t>
  </si>
  <si>
    <t>Program: 5502 Unapređenje kvalitete odgojno obrazovnog sustava</t>
  </si>
  <si>
    <t>A 55203 Programi školskog kurikuluma</t>
  </si>
  <si>
    <t>A 55205 Programi sufinancianja rada pomoćnika u nastavi</t>
  </si>
  <si>
    <t>Program: 5306 Obilježavanje postignuća učenika i nastavnika</t>
  </si>
  <si>
    <t>32 Vlastiti prihodi</t>
  </si>
  <si>
    <t>4 Prihodi za posebne namjene</t>
  </si>
  <si>
    <t>44 Prihodi za decentralizirane funkcije</t>
  </si>
  <si>
    <t>5 Pomoći</t>
  </si>
  <si>
    <t>51 Pomoći</t>
  </si>
  <si>
    <t>52 Pomoći-proračunski korisnici</t>
  </si>
  <si>
    <t>7 prihodi od prodaje ili zamjena nefinancijske imovine</t>
  </si>
  <si>
    <t>73 Prihodi od prodaje ili zamjene nef. Imovine</t>
  </si>
  <si>
    <t>38 Prenesena sredstva</t>
  </si>
  <si>
    <t>738 Prenesena sredstva</t>
  </si>
  <si>
    <t>09 Obrazovanje</t>
  </si>
  <si>
    <t>092 Srednjoškolsko obrazovanje</t>
  </si>
  <si>
    <t>098 Usluge obrazovanja koje nisu drugdje svrstane</t>
  </si>
  <si>
    <t>IZVOR 1 OPĆI PRIHODI I PRIMICI</t>
  </si>
  <si>
    <t>IZVOR 3 VLASTITI PRIHODI</t>
  </si>
  <si>
    <t>IZVOR 4 PRIHODI ZA POSEBNE NAMJENE</t>
  </si>
  <si>
    <t>IZVOR 5 POMOĆI</t>
  </si>
  <si>
    <t>IZVOR 7 PRIHODI OD PRODAJE ILI ZAMJENE NEFINANCIJSKE IMOVINE</t>
  </si>
  <si>
    <t>32 Materijalni rashodi</t>
  </si>
  <si>
    <t>3211 Službena putovanja</t>
  </si>
  <si>
    <t>3231 Usluge telefona, pošte i prijevoza</t>
  </si>
  <si>
    <t>A550101 Osiguranje uvjeta rada</t>
  </si>
  <si>
    <t>Izvor: 1 OPĆI PRIHODI I PRIMICI</t>
  </si>
  <si>
    <t>Izvor : 5 POMOĆI</t>
  </si>
  <si>
    <t>3223 Energija</t>
  </si>
  <si>
    <t>3238 Računalne usluge</t>
  </si>
  <si>
    <t>3239 Ostale usluge</t>
  </si>
  <si>
    <t>Izvor: 3 VLASTITI PRIHODI</t>
  </si>
  <si>
    <t>3213 Stručno usavršavanje zaposlenika</t>
  </si>
  <si>
    <t>3222 Materijal i sirovine</t>
  </si>
  <si>
    <t>3225 Sitan inventar i auto gume</t>
  </si>
  <si>
    <t>34 Financijski rashodi</t>
  </si>
  <si>
    <t>3433 Zatezne kamate</t>
  </si>
  <si>
    <t>42 Rashodi za nabavu proizvedene dugotrajne imovine</t>
  </si>
  <si>
    <t>4221 Uredska oprema i namještaj</t>
  </si>
  <si>
    <t>Izvor: 4 PRIHODI ZA POSEBNE NAMJENE</t>
  </si>
  <si>
    <t>3212 Naknada za prijevoz, za rad na terenu i odvojeni život</t>
  </si>
  <si>
    <t>3224 Materijal i dijelovi za tekuće i investicijsko održavanje</t>
  </si>
  <si>
    <t>3227 Službena, radna i zaštitna odjeća i obuća</t>
  </si>
  <si>
    <t>3232 Usluge tekućeg i invensticijskog održavanja</t>
  </si>
  <si>
    <t>3234 Komunalne usluge</t>
  </si>
  <si>
    <t>3236 Zdravstvene i veterinarske usluge</t>
  </si>
  <si>
    <t>3292 Premija osiguranja</t>
  </si>
  <si>
    <t>3293 Reprezentacija</t>
  </si>
  <si>
    <t>3294 Članarine i norme</t>
  </si>
  <si>
    <t>3299 Ostali nespomenuti rashodi poslovanja</t>
  </si>
  <si>
    <t>3431 Bankarske usluge i usluge platnog prometa</t>
  </si>
  <si>
    <t>Izvor: 5 POMOĆI</t>
  </si>
  <si>
    <t>31 Rashodi za zaposlene</t>
  </si>
  <si>
    <t>3111  Plaće za redovan rad</t>
  </si>
  <si>
    <t>3113 Plaće za prekovremeni rad</t>
  </si>
  <si>
    <t>3121 Ostali rashodi za zaposlene</t>
  </si>
  <si>
    <t>3132 Doprinosi za obavezno zdravstveno osiguranje</t>
  </si>
  <si>
    <t>3237 Intelektualne i osobne usluge</t>
  </si>
  <si>
    <t>3295 Pristojbe i naknade</t>
  </si>
  <si>
    <t>3296 Troškovi sudskih postupaka</t>
  </si>
  <si>
    <t>37 Naknade građanima i kućanstvima na temelju osiguranja i druge naknade</t>
  </si>
  <si>
    <t>3722 Naknade građanima i kućanstvima u naravi</t>
  </si>
  <si>
    <t>4241 Knjige</t>
  </si>
  <si>
    <t>Izvor: 7 PRIHODI OD PRODAJE ILI ZAMJENE NEFINANCIJSKE IMOVINE I NAKNADE S NASLOVA OSIGURANJA</t>
  </si>
  <si>
    <t>4222 Komunikacijska oprema</t>
  </si>
  <si>
    <t>3221 Uredski materijal i ostali materijalni rashodi</t>
  </si>
  <si>
    <t>A 550221 Osiguranaje besplatnih zaliha menstrualnih higijenskih potrepština</t>
  </si>
  <si>
    <t>38 Ostali rashodi</t>
  </si>
  <si>
    <t>3812 Tekuće donacije u naravi</t>
  </si>
  <si>
    <t>Izvještaj po programskoj</t>
  </si>
  <si>
    <t>IZVJEŠTAJ PO ORGANIZACIJSKOJ KLASIFIKACIJI</t>
  </si>
  <si>
    <t>PRORAČUN PRIMORSKO GORANSKE ŽUPANIJE</t>
  </si>
  <si>
    <t>GLAVA 5</t>
  </si>
  <si>
    <t>ŽUPANIJSKE USTANOVE SREDNJEG ŠKOLSTVA</t>
  </si>
  <si>
    <t>Rashodi za nabavu nefinacijske imovine</t>
  </si>
  <si>
    <t>SAŽETAK  RAČUNA PRIHODA I RASHODA I  RAČUNA FINANCIRANJA</t>
  </si>
  <si>
    <t>RAZLIKA - VIŠAK MANJAK</t>
  </si>
  <si>
    <t>PRIJENOS VIŠKA/MANJKA U SLJEDEĆE RAZDOBLJE</t>
  </si>
  <si>
    <t>SAŽETAK  RAČUNA PRIHODA I RASHODA I  RAČUNA FINANCIRANJA  može sadržavati i dodatne podatke.</t>
  </si>
  <si>
    <t>IZVJEŠTAJ O IZVRŠENJU PRORAČUNA JEDINICE LOKALNE I PODRUČNE (REGIONALNE) SAMOUPRAVE ZA 2024. GODINU</t>
  </si>
  <si>
    <t>Usluge promidžbe i informiranja</t>
  </si>
  <si>
    <t>Intelektualne i osobne usluge</t>
  </si>
  <si>
    <t>3233  Usluge promidžbe i informiranja</t>
  </si>
  <si>
    <t>58 Prenesena sredstva -pomoći za provođenje EU projekta</t>
  </si>
  <si>
    <t>58 Prenesena sredstva</t>
  </si>
  <si>
    <t>7 Prohodi od prodaje ili zamjene nefinancijske imovine</t>
  </si>
  <si>
    <t>78 Prenesena sredstva - prihodi od prodaje ili zamjene nef. Imoivine</t>
  </si>
  <si>
    <t xml:space="preserve">  51 Pomoći</t>
  </si>
  <si>
    <t xml:space="preserve">  73 Prihodi od prodaje ili zamjene nef. Imovine</t>
  </si>
  <si>
    <t>PRENESENI VIŠAK ILI PRENESENI MANJAK</t>
  </si>
  <si>
    <t>PRENESENI VIŠAK/MANJAK IZ PRETHODEN GODINE</t>
  </si>
  <si>
    <t>VIŠAK KOJI SE RASPOREDIO ZA POKRIĆE RAZLIKE PRIHODA I RASHODA, PRIMITAKA I IZDATAKA</t>
  </si>
  <si>
    <t>MANJAK RAZLIKE PRIHODA I RASHODA, PRIMITAKA I IZDATAKA KOJI SE POKRIO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</si>
</sst>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</font>
    <font>
      <b/>
      <i/>
      <sz val="10"/>
      <name val="Arial"/>
      <family val="2"/>
      <charset val="238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9"/>
      <color rgb="FF000000"/>
      <name val="Arial"/>
      <family val="2"/>
      <charset val="238"/>
    </font>
    <font>
      <i/>
      <sz val="10"/>
      <name val="Arial"/>
      <family val="2"/>
    </font>
    <font>
      <i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4">
    <xf numFmtId="0" fontId="0" fillId="0" borderId="0" xfId="0"/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5" fillId="0" borderId="3" xfId="0" applyNumberFormat="1" applyFont="1" applyBorder="1" applyAlignment="1">
      <alignment horizontal="right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NumberFormat="1" applyFont="1" applyFill="1" applyBorder="1" applyAlignment="1" applyProtection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0" fillId="0" borderId="3" xfId="0" applyBorder="1"/>
    <xf numFmtId="0" fontId="12" fillId="0" borderId="0" xfId="0" applyFont="1" applyAlignment="1">
      <alignment vertical="top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13" fillId="3" borderId="4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3" fontId="3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2" fontId="3" fillId="2" borderId="3" xfId="0" applyNumberFormat="1" applyFont="1" applyFill="1" applyBorder="1" applyAlignment="1">
      <alignment horizontal="right"/>
    </xf>
    <xf numFmtId="2" fontId="0" fillId="0" borderId="3" xfId="0" applyNumberFormat="1" applyBorder="1"/>
    <xf numFmtId="0" fontId="18" fillId="2" borderId="3" xfId="0" quotePrefix="1" applyFont="1" applyFill="1" applyBorder="1" applyAlignment="1">
      <alignment horizontal="left" vertical="center"/>
    </xf>
    <xf numFmtId="0" fontId="18" fillId="2" borderId="3" xfId="0" quotePrefix="1" applyFont="1" applyFill="1" applyBorder="1" applyAlignment="1">
      <alignment horizontal="left" vertical="center" wrapText="1"/>
    </xf>
    <xf numFmtId="2" fontId="5" fillId="2" borderId="3" xfId="0" applyNumberFormat="1" applyFont="1" applyFill="1" applyBorder="1" applyAlignment="1">
      <alignment horizontal="right"/>
    </xf>
    <xf numFmtId="2" fontId="5" fillId="2" borderId="3" xfId="0" applyNumberFormat="1" applyFont="1" applyFill="1" applyBorder="1" applyAlignment="1"/>
    <xf numFmtId="2" fontId="20" fillId="0" borderId="3" xfId="0" applyNumberFormat="1" applyFont="1" applyBorder="1"/>
    <xf numFmtId="2" fontId="21" fillId="2" borderId="3" xfId="0" applyNumberFormat="1" applyFont="1" applyFill="1" applyBorder="1" applyAlignment="1" applyProtection="1">
      <alignment vertical="center" wrapText="1"/>
    </xf>
    <xf numFmtId="2" fontId="22" fillId="0" borderId="3" xfId="0" applyNumberFormat="1" applyFont="1" applyBorder="1"/>
    <xf numFmtId="2" fontId="23" fillId="2" borderId="3" xfId="0" applyNumberFormat="1" applyFont="1" applyFill="1" applyBorder="1" applyAlignment="1">
      <alignment horizontal="right"/>
    </xf>
    <xf numFmtId="2" fontId="24" fillId="0" borderId="3" xfId="0" applyNumberFormat="1" applyFont="1" applyBorder="1"/>
    <xf numFmtId="0" fontId="20" fillId="0" borderId="0" xfId="0" applyFont="1"/>
    <xf numFmtId="2" fontId="5" fillId="3" borderId="3" xfId="0" applyNumberFormat="1" applyFont="1" applyFill="1" applyBorder="1" applyAlignment="1">
      <alignment horizontal="right"/>
    </xf>
    <xf numFmtId="2" fontId="5" fillId="0" borderId="3" xfId="0" applyNumberFormat="1" applyFont="1" applyBorder="1" applyAlignment="1">
      <alignment horizontal="right"/>
    </xf>
    <xf numFmtId="0" fontId="25" fillId="4" borderId="7" xfId="0" applyFont="1" applyFill="1" applyBorder="1" applyAlignment="1">
      <alignment horizontal="left" wrapText="1"/>
    </xf>
    <xf numFmtId="0" fontId="25" fillId="5" borderId="7" xfId="0" applyFont="1" applyFill="1" applyBorder="1" applyAlignment="1">
      <alignment horizontal="left" wrapText="1"/>
    </xf>
    <xf numFmtId="0" fontId="25" fillId="6" borderId="7" xfId="0" applyFont="1" applyFill="1" applyBorder="1" applyAlignment="1">
      <alignment horizontal="left" wrapText="1"/>
    </xf>
    <xf numFmtId="0" fontId="3" fillId="2" borderId="4" xfId="0" applyNumberFormat="1" applyFont="1" applyFill="1" applyBorder="1" applyAlignment="1" applyProtection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3" fillId="2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vertical="center"/>
    </xf>
    <xf numFmtId="0" fontId="0" fillId="0" borderId="8" xfId="0" applyBorder="1"/>
    <xf numFmtId="0" fontId="17" fillId="0" borderId="1" xfId="0" applyFont="1" applyBorder="1" applyAlignment="1">
      <alignment horizontal="left" vertical="center"/>
    </xf>
    <xf numFmtId="0" fontId="0" fillId="0" borderId="0" xfId="0" applyBorder="1"/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1" fillId="0" borderId="1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3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6" xfId="0" applyBorder="1"/>
    <xf numFmtId="0" fontId="0" fillId="0" borderId="15" xfId="0" applyBorder="1"/>
    <xf numFmtId="2" fontId="14" fillId="2" borderId="3" xfId="0" applyNumberFormat="1" applyFont="1" applyFill="1" applyBorder="1" applyAlignment="1" applyProtection="1">
      <alignment vertical="center" wrapText="1"/>
    </xf>
    <xf numFmtId="2" fontId="3" fillId="2" borderId="3" xfId="0" applyNumberFormat="1" applyFont="1" applyFill="1" applyBorder="1" applyAlignment="1" applyProtection="1">
      <alignment horizontal="right" wrapText="1"/>
    </xf>
    <xf numFmtId="0" fontId="26" fillId="2" borderId="3" xfId="0" applyNumberFormat="1" applyFont="1" applyFill="1" applyBorder="1" applyAlignment="1" applyProtection="1">
      <alignment horizontal="left" vertical="center" wrapText="1"/>
    </xf>
    <xf numFmtId="0" fontId="8" fillId="2" borderId="0" xfId="0" applyNumberFormat="1" applyFont="1" applyFill="1" applyBorder="1" applyAlignment="1" applyProtection="1">
      <alignment horizontal="left" vertical="center" wrapText="1" indent="1"/>
    </xf>
    <xf numFmtId="2" fontId="3" fillId="2" borderId="0" xfId="0" applyNumberFormat="1" applyFont="1" applyFill="1" applyBorder="1" applyAlignment="1">
      <alignment horizontal="right"/>
    </xf>
    <xf numFmtId="2" fontId="3" fillId="2" borderId="0" xfId="0" applyNumberFormat="1" applyFont="1" applyFill="1" applyBorder="1" applyAlignment="1" applyProtection="1">
      <alignment horizontal="right" wrapText="1"/>
    </xf>
    <xf numFmtId="2" fontId="0" fillId="0" borderId="0" xfId="0" applyNumberFormat="1" applyBorder="1"/>
    <xf numFmtId="0" fontId="8" fillId="2" borderId="3" xfId="0" applyFont="1" applyFill="1" applyBorder="1" applyAlignment="1">
      <alignment horizontal="left" vertical="center" wrapText="1"/>
    </xf>
    <xf numFmtId="0" fontId="27" fillId="0" borderId="10" xfId="0" applyFont="1" applyBorder="1" applyAlignment="1">
      <alignment wrapText="1"/>
    </xf>
    <xf numFmtId="0" fontId="25" fillId="2" borderId="7" xfId="0" applyFont="1" applyFill="1" applyBorder="1" applyAlignment="1">
      <alignment horizontal="left" wrapText="1"/>
    </xf>
    <xf numFmtId="2" fontId="3" fillId="2" borderId="4" xfId="0" applyNumberFormat="1" applyFont="1" applyFill="1" applyBorder="1" applyAlignment="1">
      <alignment horizontal="right"/>
    </xf>
    <xf numFmtId="2" fontId="0" fillId="0" borderId="4" xfId="0" applyNumberFormat="1" applyBorder="1"/>
    <xf numFmtId="2" fontId="0" fillId="0" borderId="2" xfId="0" applyNumberFormat="1" applyBorder="1"/>
    <xf numFmtId="2" fontId="0" fillId="0" borderId="13" xfId="0" applyNumberFormat="1" applyBorder="1"/>
    <xf numFmtId="2" fontId="0" fillId="0" borderId="9" xfId="0" applyNumberFormat="1" applyBorder="1"/>
    <xf numFmtId="0" fontId="28" fillId="4" borderId="7" xfId="0" applyFont="1" applyFill="1" applyBorder="1" applyAlignment="1">
      <alignment horizontal="left" wrapText="1"/>
    </xf>
    <xf numFmtId="2" fontId="0" fillId="0" borderId="9" xfId="0" applyNumberFormat="1" applyFont="1" applyBorder="1" applyAlignment="1">
      <alignment vertical="top" wrapText="1"/>
    </xf>
    <xf numFmtId="2" fontId="0" fillId="0" borderId="3" xfId="0" applyNumberFormat="1" applyFont="1" applyBorder="1" applyAlignment="1">
      <alignment vertical="top" wrapText="1"/>
    </xf>
    <xf numFmtId="2" fontId="0" fillId="0" borderId="4" xfId="0" applyNumberFormat="1" applyFont="1" applyBorder="1" applyAlignment="1">
      <alignment vertical="top" wrapText="1"/>
    </xf>
    <xf numFmtId="2" fontId="1" fillId="0" borderId="4" xfId="0" applyNumberFormat="1" applyFont="1" applyBorder="1"/>
    <xf numFmtId="2" fontId="0" fillId="0" borderId="13" xfId="0" applyNumberFormat="1" applyFont="1" applyBorder="1" applyAlignment="1">
      <alignment vertical="top" wrapText="1"/>
    </xf>
    <xf numFmtId="2" fontId="0" fillId="0" borderId="4" xfId="0" applyNumberFormat="1" applyFont="1" applyBorder="1"/>
    <xf numFmtId="2" fontId="1" fillId="0" borderId="3" xfId="0" applyNumberFormat="1" applyFont="1" applyBorder="1"/>
    <xf numFmtId="2" fontId="5" fillId="2" borderId="4" xfId="0" applyNumberFormat="1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0" fillId="0" borderId="0" xfId="0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6" xfId="0" applyFont="1" applyBorder="1"/>
    <xf numFmtId="0" fontId="0" fillId="0" borderId="11" xfId="0" applyFill="1" applyBorder="1"/>
    <xf numFmtId="0" fontId="5" fillId="0" borderId="3" xfId="0" quotePrefix="1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9" fillId="0" borderId="3" xfId="0" applyFont="1" applyBorder="1" applyAlignment="1">
      <alignment wrapText="1"/>
    </xf>
    <xf numFmtId="0" fontId="3" fillId="2" borderId="3" xfId="0" applyNumberFormat="1" applyFont="1" applyFill="1" applyBorder="1" applyAlignment="1">
      <alignment horizontal="right"/>
    </xf>
    <xf numFmtId="0" fontId="0" fillId="0" borderId="3" xfId="0" applyNumberFormat="1" applyBorder="1"/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wrapText="1"/>
    </xf>
    <xf numFmtId="0" fontId="12" fillId="2" borderId="5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right" wrapText="1"/>
    </xf>
    <xf numFmtId="0" fontId="32" fillId="2" borderId="0" xfId="0" applyFont="1" applyFill="1" applyAlignment="1">
      <alignment horizontal="center" vertical="center" wrapText="1"/>
    </xf>
    <xf numFmtId="0" fontId="3" fillId="2" borderId="0" xfId="0" applyFont="1" applyFill="1"/>
    <xf numFmtId="3" fontId="5" fillId="3" borderId="3" xfId="0" applyNumberFormat="1" applyFont="1" applyFill="1" applyBorder="1" applyAlignment="1">
      <alignment horizontal="right"/>
    </xf>
    <xf numFmtId="0" fontId="33" fillId="2" borderId="0" xfId="0" quotePrefix="1" applyFont="1" applyFill="1" applyAlignment="1">
      <alignment horizontal="left" wrapText="1"/>
    </xf>
    <xf numFmtId="0" fontId="6" fillId="2" borderId="0" xfId="0" applyFont="1" applyFill="1" applyAlignment="1">
      <alignment wrapText="1"/>
    </xf>
    <xf numFmtId="3" fontId="4" fillId="2" borderId="0" xfId="0" applyNumberFormat="1" applyFont="1" applyFill="1" applyAlignment="1">
      <alignment horizontal="right"/>
    </xf>
    <xf numFmtId="0" fontId="33" fillId="0" borderId="0" xfId="0" quotePrefix="1" applyFont="1" applyAlignment="1">
      <alignment horizontal="left" wrapText="1"/>
    </xf>
    <xf numFmtId="2" fontId="18" fillId="2" borderId="3" xfId="0" applyNumberFormat="1" applyFont="1" applyFill="1" applyBorder="1" applyAlignment="1" applyProtection="1">
      <alignment vertical="center" wrapText="1"/>
    </xf>
    <xf numFmtId="0" fontId="9" fillId="5" borderId="3" xfId="0" quotePrefix="1" applyFont="1" applyFill="1" applyBorder="1" applyAlignment="1">
      <alignment horizontal="left" vertical="center"/>
    </xf>
    <xf numFmtId="0" fontId="7" fillId="5" borderId="3" xfId="0" quotePrefix="1" applyFont="1" applyFill="1" applyBorder="1" applyAlignment="1">
      <alignment horizontal="left" vertical="center"/>
    </xf>
    <xf numFmtId="0" fontId="7" fillId="5" borderId="3" xfId="0" quotePrefix="1" applyFont="1" applyFill="1" applyBorder="1" applyAlignment="1">
      <alignment horizontal="left" vertical="center" wrapText="1"/>
    </xf>
    <xf numFmtId="2" fontId="3" fillId="5" borderId="3" xfId="0" applyNumberFormat="1" applyFont="1" applyFill="1" applyBorder="1" applyAlignment="1">
      <alignment horizontal="right"/>
    </xf>
    <xf numFmtId="0" fontId="7" fillId="7" borderId="3" xfId="0" quotePrefix="1" applyFont="1" applyFill="1" applyBorder="1" applyAlignment="1">
      <alignment horizontal="left" vertical="center"/>
    </xf>
    <xf numFmtId="0" fontId="8" fillId="7" borderId="3" xfId="0" quotePrefix="1" applyFont="1" applyFill="1" applyBorder="1" applyAlignment="1">
      <alignment horizontal="left" vertical="center"/>
    </xf>
    <xf numFmtId="2" fontId="3" fillId="7" borderId="3" xfId="0" applyNumberFormat="1" applyFont="1" applyFill="1" applyBorder="1" applyAlignment="1">
      <alignment horizontal="right"/>
    </xf>
    <xf numFmtId="0" fontId="7" fillId="7" borderId="3" xfId="0" applyNumberFormat="1" applyFont="1" applyFill="1" applyBorder="1" applyAlignment="1" applyProtection="1">
      <alignment horizontal="left" vertical="center" wrapText="1"/>
    </xf>
    <xf numFmtId="2" fontId="22" fillId="7" borderId="3" xfId="0" applyNumberFormat="1" applyFont="1" applyFill="1" applyBorder="1"/>
    <xf numFmtId="0" fontId="18" fillId="7" borderId="3" xfId="0" quotePrefix="1" applyFont="1" applyFill="1" applyBorder="1" applyAlignment="1">
      <alignment horizontal="left" vertical="center"/>
    </xf>
    <xf numFmtId="0" fontId="7" fillId="7" borderId="3" xfId="0" quotePrefix="1" applyFont="1" applyFill="1" applyBorder="1" applyAlignment="1">
      <alignment horizontal="left" vertical="center" wrapText="1"/>
    </xf>
    <xf numFmtId="0" fontId="7" fillId="7" borderId="3" xfId="0" applyNumberFormat="1" applyFont="1" applyFill="1" applyBorder="1" applyAlignment="1" applyProtection="1">
      <alignment vertical="center" wrapText="1"/>
    </xf>
    <xf numFmtId="2" fontId="22" fillId="5" borderId="3" xfId="0" applyNumberFormat="1" applyFont="1" applyFill="1" applyBorder="1"/>
    <xf numFmtId="0" fontId="7" fillId="5" borderId="3" xfId="0" applyNumberFormat="1" applyFont="1" applyFill="1" applyBorder="1" applyAlignment="1" applyProtection="1">
      <alignment horizontal="left" vertical="center" wrapText="1"/>
    </xf>
    <xf numFmtId="0" fontId="7" fillId="5" borderId="3" xfId="0" applyNumberFormat="1" applyFont="1" applyFill="1" applyBorder="1" applyAlignment="1" applyProtection="1">
      <alignment vertical="center" wrapText="1"/>
    </xf>
    <xf numFmtId="2" fontId="20" fillId="5" borderId="3" xfId="0" applyNumberFormat="1" applyFont="1" applyFill="1" applyBorder="1"/>
    <xf numFmtId="2" fontId="3" fillId="5" borderId="4" xfId="0" applyNumberFormat="1" applyFont="1" applyFill="1" applyBorder="1" applyAlignment="1">
      <alignment horizontal="right"/>
    </xf>
    <xf numFmtId="0" fontId="3" fillId="5" borderId="2" xfId="0" applyNumberFormat="1" applyFont="1" applyFill="1" applyBorder="1" applyAlignment="1" applyProtection="1">
      <alignment vertical="center"/>
    </xf>
    <xf numFmtId="0" fontId="3" fillId="5" borderId="4" xfId="0" applyNumberFormat="1" applyFont="1" applyFill="1" applyBorder="1" applyAlignment="1" applyProtection="1">
      <alignment vertical="center"/>
    </xf>
    <xf numFmtId="0" fontId="17" fillId="5" borderId="3" xfId="0" applyFont="1" applyFill="1" applyBorder="1" applyAlignment="1">
      <alignment horizontal="left" vertical="center"/>
    </xf>
    <xf numFmtId="2" fontId="5" fillId="5" borderId="4" xfId="0" applyNumberFormat="1" applyFont="1" applyFill="1" applyBorder="1" applyAlignment="1">
      <alignment horizontal="right"/>
    </xf>
    <xf numFmtId="0" fontId="17" fillId="5" borderId="1" xfId="0" applyFont="1" applyFill="1" applyBorder="1" applyAlignment="1">
      <alignment horizontal="left" vertical="center"/>
    </xf>
    <xf numFmtId="2" fontId="34" fillId="0" borderId="3" xfId="0" applyNumberFormat="1" applyFont="1" applyBorder="1" applyAlignment="1">
      <alignment vertical="top" wrapText="1"/>
    </xf>
    <xf numFmtId="0" fontId="0" fillId="5" borderId="0" xfId="0" applyFill="1"/>
    <xf numFmtId="2" fontId="1" fillId="5" borderId="3" xfId="0" applyNumberFormat="1" applyFont="1" applyFill="1" applyBorder="1"/>
    <xf numFmtId="0" fontId="1" fillId="5" borderId="3" xfId="0" applyFont="1" applyFill="1" applyBorder="1"/>
    <xf numFmtId="0" fontId="1" fillId="5" borderId="11" xfId="0" applyFont="1" applyFill="1" applyBorder="1"/>
    <xf numFmtId="0" fontId="0" fillId="5" borderId="3" xfId="0" applyFill="1" applyBorder="1"/>
    <xf numFmtId="0" fontId="0" fillId="5" borderId="14" xfId="0" applyFill="1" applyBorder="1"/>
    <xf numFmtId="0" fontId="1" fillId="5" borderId="6" xfId="0" applyFont="1" applyFill="1" applyBorder="1"/>
    <xf numFmtId="0" fontId="0" fillId="5" borderId="2" xfId="0" applyFill="1" applyBorder="1"/>
    <xf numFmtId="0" fontId="1" fillId="5" borderId="10" xfId="0" applyFont="1" applyFill="1" applyBorder="1"/>
    <xf numFmtId="0" fontId="0" fillId="5" borderId="10" xfId="0" applyFill="1" applyBorder="1"/>
    <xf numFmtId="2" fontId="0" fillId="0" borderId="0" xfId="0" applyNumberFormat="1"/>
    <xf numFmtId="3" fontId="3" fillId="5" borderId="3" xfId="0" applyNumberFormat="1" applyFont="1" applyFill="1" applyBorder="1" applyAlignment="1">
      <alignment horizontal="right"/>
    </xf>
    <xf numFmtId="3" fontId="5" fillId="5" borderId="3" xfId="0" applyNumberFormat="1" applyFont="1" applyFill="1" applyBorder="1" applyAlignment="1">
      <alignment horizontal="right"/>
    </xf>
    <xf numFmtId="0" fontId="0" fillId="5" borderId="4" xfId="0" applyFill="1" applyBorder="1"/>
    <xf numFmtId="0" fontId="0" fillId="5" borderId="15" xfId="0" applyFill="1" applyBorder="1"/>
    <xf numFmtId="2" fontId="23" fillId="2" borderId="4" xfId="0" applyNumberFormat="1" applyFont="1" applyFill="1" applyBorder="1" applyAlignment="1">
      <alignment horizontal="right"/>
    </xf>
    <xf numFmtId="2" fontId="23" fillId="2" borderId="3" xfId="0" applyNumberFormat="1" applyFont="1" applyFill="1" applyBorder="1"/>
    <xf numFmtId="2" fontId="21" fillId="2" borderId="3" xfId="0" applyNumberFormat="1" applyFont="1" applyFill="1" applyBorder="1" applyAlignment="1">
      <alignment vertical="center" wrapText="1"/>
    </xf>
    <xf numFmtId="2" fontId="18" fillId="2" borderId="3" xfId="0" applyNumberFormat="1" applyFont="1" applyFill="1" applyBorder="1" applyAlignment="1">
      <alignment vertical="center" wrapText="1"/>
    </xf>
    <xf numFmtId="2" fontId="20" fillId="7" borderId="3" xfId="0" applyNumberFormat="1" applyFont="1" applyFill="1" applyBorder="1"/>
    <xf numFmtId="0" fontId="9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 indent="1"/>
    </xf>
    <xf numFmtId="0" fontId="26" fillId="2" borderId="3" xfId="0" applyFont="1" applyFill="1" applyBorder="1" applyAlignment="1">
      <alignment horizontal="left" vertical="center" wrapText="1"/>
    </xf>
    <xf numFmtId="2" fontId="14" fillId="2" borderId="3" xfId="0" applyNumberFormat="1" applyFont="1" applyFill="1" applyBorder="1" applyAlignment="1">
      <alignment vertical="center" wrapText="1"/>
    </xf>
    <xf numFmtId="2" fontId="5" fillId="2" borderId="3" xfId="0" applyNumberFormat="1" applyFont="1" applyFill="1" applyBorder="1" applyAlignment="1" applyProtection="1">
      <alignment horizontal="right" wrapText="1"/>
    </xf>
    <xf numFmtId="0" fontId="33" fillId="2" borderId="0" xfId="0" quotePrefix="1" applyFont="1" applyFill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31" fillId="2" borderId="5" xfId="0" applyFont="1" applyFill="1" applyBorder="1" applyAlignment="1">
      <alignment horizontal="left" wrapText="1"/>
    </xf>
    <xf numFmtId="0" fontId="5" fillId="0" borderId="3" xfId="0" quotePrefix="1" applyFont="1" applyBorder="1" applyAlignment="1">
      <alignment horizontal="center" wrapText="1"/>
    </xf>
    <xf numFmtId="0" fontId="13" fillId="0" borderId="3" xfId="0" quotePrefix="1" applyFont="1" applyBorder="1" applyAlignment="1">
      <alignment horizont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9" fillId="3" borderId="3" xfId="0" quotePrefix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 wrapText="1"/>
    </xf>
    <xf numFmtId="0" fontId="33" fillId="2" borderId="0" xfId="0" quotePrefix="1" applyFont="1" applyFill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9" fillId="0" borderId="3" xfId="0" quotePrefix="1" applyFont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/>
    </xf>
    <xf numFmtId="0" fontId="9" fillId="0" borderId="3" xfId="0" quotePrefix="1" applyFont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13" fillId="3" borderId="1" xfId="0" applyNumberFormat="1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3" fillId="3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/>
    </xf>
    <xf numFmtId="0" fontId="9" fillId="7" borderId="3" xfId="0" applyNumberFormat="1" applyFont="1" applyFill="1" applyBorder="1" applyAlignment="1" applyProtection="1">
      <alignment horizontal="left" vertical="center" wrapText="1"/>
    </xf>
    <xf numFmtId="2" fontId="24" fillId="7" borderId="3" xfId="0" applyNumberFormat="1" applyFont="1" applyFill="1" applyBorder="1"/>
    <xf numFmtId="0" fontId="9" fillId="7" borderId="3" xfId="0" quotePrefix="1" applyFont="1" applyFill="1" applyBorder="1" applyAlignment="1">
      <alignment horizontal="left" vertical="center"/>
    </xf>
    <xf numFmtId="0" fontId="19" fillId="7" borderId="3" xfId="0" quotePrefix="1" applyFont="1" applyFill="1" applyBorder="1" applyAlignment="1">
      <alignment horizontal="left" vertical="center"/>
    </xf>
    <xf numFmtId="2" fontId="5" fillId="7" borderId="3" xfId="0" applyNumberFormat="1" applyFont="1" applyFill="1" applyBorder="1" applyAlignment="1">
      <alignment horizontal="right"/>
    </xf>
    <xf numFmtId="2" fontId="23" fillId="7" borderId="3" xfId="0" applyNumberFormat="1" applyFont="1" applyFill="1" applyBorder="1" applyAlignment="1">
      <alignment horizontal="right"/>
    </xf>
    <xf numFmtId="0" fontId="9" fillId="7" borderId="3" xfId="0" quotePrefix="1" applyFont="1" applyFill="1" applyBorder="1" applyAlignment="1">
      <alignment horizontal="left" vertical="center" wrapText="1"/>
    </xf>
    <xf numFmtId="2" fontId="21" fillId="7" borderId="3" xfId="0" applyNumberFormat="1" applyFont="1" applyFill="1" applyBorder="1" applyAlignment="1">
      <alignment vertical="center" wrapText="1"/>
    </xf>
    <xf numFmtId="2" fontId="21" fillId="7" borderId="3" xfId="0" applyNumberFormat="1" applyFont="1" applyFill="1" applyBorder="1" applyAlignment="1" applyProtection="1">
      <alignment vertical="center" wrapText="1"/>
    </xf>
    <xf numFmtId="0" fontId="8" fillId="5" borderId="3" xfId="0" quotePrefix="1" applyFont="1" applyFill="1" applyBorder="1" applyAlignment="1">
      <alignment horizontal="left" vertical="center"/>
    </xf>
    <xf numFmtId="2" fontId="18" fillId="5" borderId="3" xfId="0" applyNumberFormat="1" applyFont="1" applyFill="1" applyBorder="1" applyAlignment="1">
      <alignment vertical="center" wrapText="1"/>
    </xf>
    <xf numFmtId="2" fontId="18" fillId="5" borderId="3" xfId="0" applyNumberFormat="1" applyFont="1" applyFill="1" applyBorder="1" applyAlignment="1" applyProtection="1">
      <alignment vertical="center"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41"/>
  <sheetViews>
    <sheetView topLeftCell="A11" workbookViewId="0">
      <selection activeCell="G31" sqref="G3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1:13" ht="42" customHeight="1" x14ac:dyDescent="0.25">
      <c r="B1" s="196" t="s">
        <v>204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24"/>
    </row>
    <row r="2" spans="1:13" ht="18" customHeight="1" x14ac:dyDescent="0.25">
      <c r="B2" s="196" t="s">
        <v>10</v>
      </c>
      <c r="C2" s="196"/>
      <c r="D2" s="196"/>
      <c r="E2" s="196"/>
      <c r="F2" s="196"/>
      <c r="G2" s="196"/>
      <c r="H2" s="196"/>
      <c r="I2" s="196"/>
      <c r="J2" s="197"/>
      <c r="K2" s="197"/>
      <c r="L2" s="118"/>
      <c r="M2" s="2"/>
    </row>
    <row r="3" spans="1:13" ht="15.75" customHeight="1" x14ac:dyDescent="0.25">
      <c r="B3" s="206"/>
      <c r="C3" s="206"/>
      <c r="D3" s="206"/>
      <c r="E3" s="119"/>
      <c r="F3" s="119"/>
      <c r="G3" s="119"/>
      <c r="H3" s="119"/>
      <c r="I3" s="119"/>
      <c r="J3" s="120"/>
      <c r="K3" s="120"/>
      <c r="L3" s="118"/>
      <c r="M3" s="23"/>
    </row>
    <row r="4" spans="1:13" ht="15.75" x14ac:dyDescent="0.25">
      <c r="B4" s="196" t="s">
        <v>200</v>
      </c>
      <c r="C4" s="207"/>
      <c r="D4" s="207"/>
      <c r="E4" s="207"/>
      <c r="F4" s="207"/>
      <c r="G4" s="207"/>
      <c r="H4" s="207"/>
      <c r="I4" s="207"/>
      <c r="J4" s="207"/>
      <c r="K4" s="207"/>
      <c r="L4" s="118"/>
      <c r="M4" s="3"/>
    </row>
    <row r="5" spans="1:13" ht="18" customHeight="1" x14ac:dyDescent="0.25">
      <c r="B5" s="109"/>
      <c r="C5" s="121"/>
      <c r="D5" s="121"/>
      <c r="E5" s="121"/>
      <c r="F5" s="121"/>
      <c r="G5" s="121"/>
      <c r="H5" s="121"/>
      <c r="I5" s="121"/>
      <c r="J5" s="121"/>
      <c r="K5" s="121"/>
      <c r="L5" s="118"/>
      <c r="M5" s="22"/>
    </row>
    <row r="6" spans="1:13" ht="18" customHeight="1" x14ac:dyDescent="0.25">
      <c r="B6" s="185" t="s">
        <v>58</v>
      </c>
      <c r="C6" s="185"/>
      <c r="D6" s="185"/>
      <c r="E6" s="185"/>
      <c r="F6" s="185"/>
      <c r="G6" s="37"/>
      <c r="H6" s="37"/>
      <c r="I6" s="37"/>
      <c r="J6" s="37"/>
      <c r="K6" s="122"/>
      <c r="L6" s="118"/>
      <c r="M6" s="22"/>
    </row>
    <row r="7" spans="1:13" ht="24.75" customHeight="1" x14ac:dyDescent="0.25">
      <c r="B7" s="186" t="s">
        <v>6</v>
      </c>
      <c r="C7" s="186"/>
      <c r="D7" s="186"/>
      <c r="E7" s="186"/>
      <c r="F7" s="186"/>
      <c r="G7" s="108" t="s">
        <v>65</v>
      </c>
      <c r="H7" s="123" t="s">
        <v>59</v>
      </c>
      <c r="I7" s="123" t="s">
        <v>60</v>
      </c>
      <c r="J7" s="108" t="s">
        <v>61</v>
      </c>
      <c r="K7" s="123" t="s">
        <v>23</v>
      </c>
      <c r="L7" s="123" t="s">
        <v>52</v>
      </c>
    </row>
    <row r="8" spans="1:13" ht="25.5" customHeight="1" x14ac:dyDescent="0.25">
      <c r="A8" s="32"/>
      <c r="B8" s="187">
        <v>1</v>
      </c>
      <c r="C8" s="187"/>
      <c r="D8" s="187"/>
      <c r="E8" s="187"/>
      <c r="F8" s="187"/>
      <c r="G8" s="124">
        <v>2</v>
      </c>
      <c r="H8" s="125">
        <v>3</v>
      </c>
      <c r="I8" s="125">
        <v>4</v>
      </c>
      <c r="J8" s="125">
        <v>5</v>
      </c>
      <c r="K8" s="125" t="s">
        <v>37</v>
      </c>
      <c r="L8" s="125" t="s">
        <v>38</v>
      </c>
    </row>
    <row r="9" spans="1:13" x14ac:dyDescent="0.25">
      <c r="B9" s="203" t="s">
        <v>0</v>
      </c>
      <c r="C9" s="191"/>
      <c r="D9" s="191"/>
      <c r="E9" s="191"/>
      <c r="F9" s="204"/>
      <c r="G9" s="52">
        <v>691788.4</v>
      </c>
      <c r="H9" s="52">
        <v>828039.84</v>
      </c>
      <c r="I9" s="52">
        <v>828039.84</v>
      </c>
      <c r="J9" s="52">
        <v>816625.11</v>
      </c>
      <c r="K9" s="52">
        <f t="shared" ref="K9:K15" si="0">SUM(J9/G9)*100</f>
        <v>118.04550495498334</v>
      </c>
      <c r="L9" s="52">
        <f t="shared" ref="L9:L15" si="1">SUM(J9/I9)*100</f>
        <v>98.621475749282794</v>
      </c>
    </row>
    <row r="10" spans="1:13" ht="15" customHeight="1" x14ac:dyDescent="0.25">
      <c r="B10" s="188" t="s">
        <v>25</v>
      </c>
      <c r="C10" s="189"/>
      <c r="D10" s="189"/>
      <c r="E10" s="189"/>
      <c r="F10" s="201"/>
      <c r="G10" s="53">
        <v>691695.4</v>
      </c>
      <c r="H10" s="53">
        <v>827966.84</v>
      </c>
      <c r="I10" s="53">
        <v>827966.84</v>
      </c>
      <c r="J10" s="53">
        <v>816552.03</v>
      </c>
      <c r="K10" s="52">
        <f t="shared" si="0"/>
        <v>118.05081109401623</v>
      </c>
      <c r="L10" s="52">
        <f t="shared" si="1"/>
        <v>98.62134454563423</v>
      </c>
    </row>
    <row r="11" spans="1:13" x14ac:dyDescent="0.25">
      <c r="B11" s="202" t="s">
        <v>24</v>
      </c>
      <c r="C11" s="201"/>
      <c r="D11" s="201"/>
      <c r="E11" s="201"/>
      <c r="F11" s="201"/>
      <c r="G11" s="53">
        <v>93</v>
      </c>
      <c r="H11" s="53">
        <v>73</v>
      </c>
      <c r="I11" s="53">
        <v>73</v>
      </c>
      <c r="J11" s="53">
        <v>73.08</v>
      </c>
      <c r="K11" s="52">
        <f t="shared" si="0"/>
        <v>78.58064516129032</v>
      </c>
      <c r="L11" s="52">
        <f t="shared" si="1"/>
        <v>100.10958904109589</v>
      </c>
    </row>
    <row r="12" spans="1:13" ht="15" customHeight="1" x14ac:dyDescent="0.25">
      <c r="B12" s="198" t="s">
        <v>1</v>
      </c>
      <c r="C12" s="199"/>
      <c r="D12" s="199"/>
      <c r="E12" s="199"/>
      <c r="F12" s="200"/>
      <c r="G12" s="52">
        <v>691365.17</v>
      </c>
      <c r="H12" s="52">
        <v>832282.38</v>
      </c>
      <c r="I12" s="52">
        <v>832282.38</v>
      </c>
      <c r="J12" s="52">
        <v>816695.65</v>
      </c>
      <c r="K12" s="52">
        <f t="shared" si="0"/>
        <v>118.12797135846458</v>
      </c>
      <c r="L12" s="52">
        <f t="shared" si="1"/>
        <v>98.127230568067532</v>
      </c>
    </row>
    <row r="13" spans="1:13" ht="15" customHeight="1" x14ac:dyDescent="0.25">
      <c r="B13" s="205" t="s">
        <v>26</v>
      </c>
      <c r="C13" s="189"/>
      <c r="D13" s="189"/>
      <c r="E13" s="189"/>
      <c r="F13" s="189"/>
      <c r="G13" s="53">
        <v>690638.54</v>
      </c>
      <c r="H13" s="53">
        <v>829514.95</v>
      </c>
      <c r="I13" s="53">
        <v>829514.95</v>
      </c>
      <c r="J13" s="53">
        <v>815909.74</v>
      </c>
      <c r="K13" s="52">
        <f t="shared" si="0"/>
        <v>118.1384606772741</v>
      </c>
      <c r="L13" s="52">
        <f t="shared" si="1"/>
        <v>98.359859578178799</v>
      </c>
    </row>
    <row r="14" spans="1:13" x14ac:dyDescent="0.25">
      <c r="B14" s="202" t="s">
        <v>27</v>
      </c>
      <c r="C14" s="201"/>
      <c r="D14" s="201"/>
      <c r="E14" s="201"/>
      <c r="F14" s="201"/>
      <c r="G14" s="53">
        <v>726.63</v>
      </c>
      <c r="H14" s="53">
        <v>2767.43</v>
      </c>
      <c r="I14" s="53">
        <v>2767.43</v>
      </c>
      <c r="J14" s="53">
        <v>785.91</v>
      </c>
      <c r="K14" s="52">
        <f t="shared" si="0"/>
        <v>108.15820981792659</v>
      </c>
      <c r="L14" s="52">
        <f t="shared" si="1"/>
        <v>28.398550279501201</v>
      </c>
    </row>
    <row r="15" spans="1:13" x14ac:dyDescent="0.25">
      <c r="B15" s="190" t="s">
        <v>201</v>
      </c>
      <c r="C15" s="191"/>
      <c r="D15" s="191"/>
      <c r="E15" s="191"/>
      <c r="F15" s="191"/>
      <c r="G15" s="126">
        <v>423.23</v>
      </c>
      <c r="H15" s="52">
        <v>4242.54</v>
      </c>
      <c r="I15" s="52">
        <v>4242.54</v>
      </c>
      <c r="J15" s="126">
        <v>70.540000000000006</v>
      </c>
      <c r="K15" s="52">
        <f t="shared" si="0"/>
        <v>16.667060463577723</v>
      </c>
      <c r="L15" s="52">
        <f t="shared" si="1"/>
        <v>1.6626832039297217</v>
      </c>
    </row>
    <row r="16" spans="1:13" ht="15" customHeight="1" x14ac:dyDescent="0.25">
      <c r="B16" s="119"/>
      <c r="C16" s="127"/>
      <c r="D16" s="127"/>
      <c r="E16" s="127"/>
      <c r="F16" s="127"/>
      <c r="G16" s="127"/>
      <c r="H16" s="127"/>
      <c r="I16" s="128"/>
      <c r="J16" s="128"/>
      <c r="K16" s="128"/>
      <c r="L16" s="128"/>
    </row>
    <row r="17" spans="1:49" ht="18" x14ac:dyDescent="0.25">
      <c r="B17" s="185" t="s">
        <v>57</v>
      </c>
      <c r="C17" s="185"/>
      <c r="D17" s="185"/>
      <c r="E17" s="185"/>
      <c r="F17" s="185"/>
      <c r="G17" s="127"/>
      <c r="H17" s="127"/>
      <c r="I17" s="128"/>
      <c r="J17" s="128"/>
      <c r="K17" s="128"/>
      <c r="L17" s="128"/>
      <c r="M17" s="1"/>
    </row>
    <row r="18" spans="1:49" ht="22.5" customHeight="1" x14ac:dyDescent="0.25">
      <c r="B18" s="186" t="s">
        <v>6</v>
      </c>
      <c r="C18" s="186"/>
      <c r="D18" s="186"/>
      <c r="E18" s="186"/>
      <c r="F18" s="186"/>
      <c r="G18" s="108" t="s">
        <v>65</v>
      </c>
      <c r="H18" s="123" t="s">
        <v>59</v>
      </c>
      <c r="I18" s="123" t="s">
        <v>60</v>
      </c>
      <c r="J18" s="108" t="s">
        <v>61</v>
      </c>
      <c r="K18" s="123" t="s">
        <v>23</v>
      </c>
      <c r="L18" s="123" t="s">
        <v>52</v>
      </c>
      <c r="M18" s="1"/>
    </row>
    <row r="19" spans="1:49" ht="25.5" customHeight="1" x14ac:dyDescent="0.25">
      <c r="A19" s="32"/>
      <c r="B19" s="187">
        <v>1</v>
      </c>
      <c r="C19" s="187"/>
      <c r="D19" s="187"/>
      <c r="E19" s="187"/>
      <c r="F19" s="187"/>
      <c r="G19" s="124">
        <v>2</v>
      </c>
      <c r="H19" s="125">
        <v>3</v>
      </c>
      <c r="I19" s="125">
        <v>4</v>
      </c>
      <c r="J19" s="125">
        <v>5</v>
      </c>
      <c r="K19" s="125" t="s">
        <v>37</v>
      </c>
      <c r="L19" s="125" t="s">
        <v>38</v>
      </c>
    </row>
    <row r="20" spans="1:49" x14ac:dyDescent="0.25">
      <c r="B20" s="188" t="s">
        <v>28</v>
      </c>
      <c r="C20" s="188"/>
      <c r="D20" s="188"/>
      <c r="E20" s="188"/>
      <c r="F20" s="188"/>
      <c r="G20" s="53">
        <v>0</v>
      </c>
      <c r="H20" s="53">
        <v>0</v>
      </c>
      <c r="I20" s="53">
        <v>0</v>
      </c>
      <c r="J20" s="53">
        <v>0</v>
      </c>
      <c r="K20" s="18"/>
      <c r="L20" s="18"/>
    </row>
    <row r="21" spans="1:49" ht="15.75" customHeight="1" x14ac:dyDescent="0.25">
      <c r="B21" s="188" t="s">
        <v>29</v>
      </c>
      <c r="C21" s="189"/>
      <c r="D21" s="189"/>
      <c r="E21" s="189"/>
      <c r="F21" s="189"/>
      <c r="G21" s="53">
        <v>0</v>
      </c>
      <c r="H21" s="53">
        <v>0</v>
      </c>
      <c r="I21" s="53">
        <v>0</v>
      </c>
      <c r="J21" s="53">
        <v>0</v>
      </c>
      <c r="K21" s="18"/>
      <c r="L21" s="18"/>
    </row>
    <row r="22" spans="1:49" ht="15" customHeight="1" x14ac:dyDescent="0.25">
      <c r="A22" s="118"/>
      <c r="B22" s="195" t="s">
        <v>53</v>
      </c>
      <c r="C22" s="195"/>
      <c r="D22" s="195"/>
      <c r="E22" s="195"/>
      <c r="F22" s="195"/>
      <c r="G22" s="52">
        <v>0</v>
      </c>
      <c r="H22" s="52">
        <v>0</v>
      </c>
      <c r="I22" s="52">
        <v>0</v>
      </c>
      <c r="J22" s="52">
        <v>0</v>
      </c>
      <c r="K22" s="129"/>
      <c r="L22" s="129"/>
    </row>
    <row r="23" spans="1:49" s="28" customFormat="1" ht="15" customHeight="1" x14ac:dyDescent="0.25">
      <c r="A23"/>
      <c r="B23" s="130"/>
      <c r="C23" s="131"/>
      <c r="D23" s="131"/>
      <c r="E23" s="131"/>
      <c r="F23" s="131"/>
      <c r="G23" s="132"/>
      <c r="H23" s="132"/>
      <c r="I23" s="132"/>
      <c r="J23" s="132"/>
      <c r="K23" s="132"/>
      <c r="L23" s="11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 s="36" customFormat="1" ht="15" hidden="1" customHeight="1" x14ac:dyDescent="0.25">
      <c r="A24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</row>
    <row r="25" spans="1:49" ht="15.75" customHeight="1" x14ac:dyDescent="0.25">
      <c r="B25" s="185" t="s">
        <v>214</v>
      </c>
      <c r="C25" s="185"/>
      <c r="D25" s="185"/>
      <c r="E25" s="185"/>
      <c r="F25" s="185"/>
      <c r="G25" s="127"/>
      <c r="H25" s="127"/>
      <c r="I25" s="128"/>
      <c r="J25" s="128"/>
      <c r="K25" s="128"/>
      <c r="L25" s="128"/>
    </row>
    <row r="26" spans="1:49" ht="25.5" x14ac:dyDescent="0.25">
      <c r="B26" s="186" t="s">
        <v>6</v>
      </c>
      <c r="C26" s="186"/>
      <c r="D26" s="186"/>
      <c r="E26" s="186"/>
      <c r="F26" s="186"/>
      <c r="G26" s="108" t="s">
        <v>65</v>
      </c>
      <c r="H26" s="123" t="s">
        <v>59</v>
      </c>
      <c r="I26" s="123" t="s">
        <v>60</v>
      </c>
      <c r="J26" s="108" t="s">
        <v>61</v>
      </c>
      <c r="K26" s="123" t="s">
        <v>23</v>
      </c>
      <c r="L26" s="123" t="s">
        <v>52</v>
      </c>
    </row>
    <row r="27" spans="1:49" x14ac:dyDescent="0.25">
      <c r="B27" s="187">
        <v>1</v>
      </c>
      <c r="C27" s="187"/>
      <c r="D27" s="187"/>
      <c r="E27" s="187"/>
      <c r="F27" s="187"/>
      <c r="G27" s="124">
        <v>2</v>
      </c>
      <c r="H27" s="125">
        <v>3</v>
      </c>
      <c r="I27" s="125">
        <v>4</v>
      </c>
      <c r="J27" s="125">
        <v>5</v>
      </c>
      <c r="K27" s="125" t="s">
        <v>37</v>
      </c>
      <c r="L27" s="125" t="s">
        <v>38</v>
      </c>
    </row>
    <row r="28" spans="1:49" ht="15" customHeight="1" x14ac:dyDescent="0.25">
      <c r="B28" s="188" t="s">
        <v>215</v>
      </c>
      <c r="C28" s="188"/>
      <c r="D28" s="188"/>
      <c r="E28" s="188"/>
      <c r="F28" s="188"/>
      <c r="G28" s="53">
        <v>423.23</v>
      </c>
      <c r="H28" s="53">
        <v>4242.54</v>
      </c>
      <c r="I28" s="53">
        <v>4242.54</v>
      </c>
      <c r="J28" s="53">
        <v>70.540000000000006</v>
      </c>
      <c r="K28" s="18">
        <v>16.670000000000002</v>
      </c>
      <c r="L28" s="18"/>
    </row>
    <row r="29" spans="1:49" ht="28.5" customHeight="1" x14ac:dyDescent="0.25">
      <c r="B29" s="188" t="s">
        <v>216</v>
      </c>
      <c r="C29" s="189"/>
      <c r="D29" s="189"/>
      <c r="E29" s="189"/>
      <c r="F29" s="189"/>
      <c r="G29" s="53">
        <v>0</v>
      </c>
      <c r="H29" s="53">
        <v>0</v>
      </c>
      <c r="I29" s="53">
        <v>0</v>
      </c>
      <c r="J29" s="53">
        <v>0</v>
      </c>
      <c r="K29" s="18"/>
      <c r="L29" s="18"/>
    </row>
    <row r="30" spans="1:49" ht="23.25" customHeight="1" x14ac:dyDescent="0.25">
      <c r="B30" s="195" t="s">
        <v>217</v>
      </c>
      <c r="C30" s="195"/>
      <c r="D30" s="195"/>
      <c r="E30" s="195"/>
      <c r="F30" s="195"/>
      <c r="G30" s="52">
        <v>0</v>
      </c>
      <c r="H30" s="52">
        <v>0</v>
      </c>
      <c r="I30" s="52">
        <v>0</v>
      </c>
      <c r="J30" s="52">
        <v>0</v>
      </c>
      <c r="K30" s="129"/>
      <c r="L30" s="129"/>
    </row>
    <row r="31" spans="1:49" ht="15" customHeight="1" x14ac:dyDescent="0.25">
      <c r="B31" s="190" t="s">
        <v>202</v>
      </c>
      <c r="C31" s="191"/>
      <c r="D31" s="191"/>
      <c r="E31" s="191"/>
      <c r="F31" s="191"/>
      <c r="G31" s="52">
        <v>3819.54</v>
      </c>
      <c r="H31" s="52">
        <v>4242.54</v>
      </c>
      <c r="I31" s="52">
        <v>4242.54</v>
      </c>
      <c r="J31" s="52">
        <v>4007.15</v>
      </c>
      <c r="K31" s="129"/>
      <c r="L31" s="129"/>
    </row>
    <row r="32" spans="1:49" ht="15.75" x14ac:dyDescent="0.25">
      <c r="B32" s="183"/>
      <c r="C32" s="131"/>
      <c r="D32" s="131"/>
      <c r="E32" s="131"/>
      <c r="F32" s="131"/>
      <c r="G32" s="132"/>
      <c r="H32" s="132"/>
      <c r="I32" s="132"/>
      <c r="J32" s="132"/>
      <c r="K32" s="132"/>
      <c r="L32" s="118"/>
    </row>
    <row r="33" spans="2:12" ht="15.75" x14ac:dyDescent="0.25">
      <c r="B33" s="192" t="s">
        <v>203</v>
      </c>
      <c r="C33" s="192"/>
      <c r="D33" s="192"/>
      <c r="E33" s="192"/>
      <c r="F33" s="192"/>
      <c r="G33" s="192"/>
      <c r="H33" s="192"/>
      <c r="I33" s="192"/>
      <c r="J33" s="192"/>
      <c r="K33" s="192"/>
      <c r="L33" s="192"/>
    </row>
    <row r="34" spans="2:12" ht="15.75" x14ac:dyDescent="0.25"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</row>
    <row r="35" spans="2:12" x14ac:dyDescent="0.25">
      <c r="B35" s="193" t="s">
        <v>62</v>
      </c>
      <c r="C35" s="193"/>
      <c r="D35" s="193"/>
      <c r="E35" s="193"/>
      <c r="F35" s="193"/>
      <c r="G35" s="193"/>
      <c r="H35" s="193"/>
      <c r="I35" s="193"/>
      <c r="J35" s="193"/>
      <c r="K35" s="193"/>
      <c r="L35" s="193"/>
    </row>
    <row r="36" spans="2:12" x14ac:dyDescent="0.25">
      <c r="B36" s="193" t="s">
        <v>66</v>
      </c>
      <c r="C36" s="193"/>
      <c r="D36" s="193"/>
      <c r="E36" s="193"/>
      <c r="F36" s="193"/>
      <c r="G36" s="193"/>
      <c r="H36" s="193"/>
      <c r="I36" s="193"/>
      <c r="J36" s="193"/>
      <c r="K36" s="193"/>
      <c r="L36" s="193"/>
    </row>
    <row r="37" spans="2:12" x14ac:dyDescent="0.25">
      <c r="B37" s="193" t="s">
        <v>67</v>
      </c>
      <c r="C37" s="193"/>
      <c r="D37" s="193"/>
      <c r="E37" s="193"/>
      <c r="F37" s="193"/>
      <c r="G37" s="193"/>
      <c r="H37" s="193"/>
      <c r="I37" s="193"/>
      <c r="J37" s="193"/>
      <c r="K37" s="193"/>
      <c r="L37" s="193"/>
    </row>
    <row r="38" spans="2:12" ht="24.75" customHeight="1" x14ac:dyDescent="0.25"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</row>
    <row r="39" spans="2:12" x14ac:dyDescent="0.25">
      <c r="B39" s="194"/>
      <c r="C39" s="194"/>
      <c r="D39" s="194"/>
      <c r="E39" s="194"/>
      <c r="F39" s="194"/>
      <c r="G39" s="194"/>
      <c r="H39" s="194"/>
      <c r="I39" s="194"/>
      <c r="J39" s="194"/>
      <c r="K39" s="194"/>
    </row>
    <row r="40" spans="2:12" x14ac:dyDescent="0.25">
      <c r="B40" s="184" t="s">
        <v>68</v>
      </c>
      <c r="C40" s="184"/>
      <c r="D40" s="184"/>
      <c r="E40" s="184"/>
      <c r="F40" s="184"/>
      <c r="G40" s="184"/>
      <c r="H40" s="184"/>
      <c r="I40" s="184"/>
      <c r="J40" s="184"/>
      <c r="K40" s="184"/>
      <c r="L40" s="184"/>
    </row>
    <row r="41" spans="2:12" x14ac:dyDescent="0.25"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</row>
  </sheetData>
  <mergeCells count="35">
    <mergeCell ref="B6:F6"/>
    <mergeCell ref="B15:F15"/>
    <mergeCell ref="B17:F17"/>
    <mergeCell ref="B24:L24"/>
    <mergeCell ref="B21:F21"/>
    <mergeCell ref="B2:K2"/>
    <mergeCell ref="B1:L1"/>
    <mergeCell ref="B12:F12"/>
    <mergeCell ref="B22:F22"/>
    <mergeCell ref="B10:F10"/>
    <mergeCell ref="B11:F11"/>
    <mergeCell ref="B8:F8"/>
    <mergeCell ref="B9:F9"/>
    <mergeCell ref="B14:F14"/>
    <mergeCell ref="B13:F13"/>
    <mergeCell ref="B7:F7"/>
    <mergeCell ref="B18:F18"/>
    <mergeCell ref="B19:F19"/>
    <mergeCell ref="B20:F20"/>
    <mergeCell ref="B3:D3"/>
    <mergeCell ref="B4:K4"/>
    <mergeCell ref="B40:L41"/>
    <mergeCell ref="B25:F25"/>
    <mergeCell ref="B26:F26"/>
    <mergeCell ref="B27:F27"/>
    <mergeCell ref="B28:F28"/>
    <mergeCell ref="B29:F29"/>
    <mergeCell ref="B31:F31"/>
    <mergeCell ref="B33:L33"/>
    <mergeCell ref="B35:L35"/>
    <mergeCell ref="B36:L36"/>
    <mergeCell ref="B37:L38"/>
    <mergeCell ref="B39:F39"/>
    <mergeCell ref="G39:K39"/>
    <mergeCell ref="B30:F30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95"/>
  <sheetViews>
    <sheetView tabSelected="1" topLeftCell="C7" zoomScale="90" zoomScaleNormal="90" workbookViewId="0">
      <selection activeCell="R27" sqref="R2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2:12" ht="15.75" customHeight="1" x14ac:dyDescent="0.25">
      <c r="B2" s="209" t="s">
        <v>10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2:12" ht="18" x14ac:dyDescent="0.25"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</row>
    <row r="4" spans="2:12" ht="15.75" customHeight="1" x14ac:dyDescent="0.25">
      <c r="B4" s="209" t="s">
        <v>55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2:12" ht="18" x14ac:dyDescent="0.25"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</row>
    <row r="6" spans="2:12" ht="15.75" customHeight="1" x14ac:dyDescent="0.25">
      <c r="B6" s="209" t="s">
        <v>39</v>
      </c>
      <c r="C6" s="209"/>
      <c r="D6" s="209"/>
      <c r="E6" s="209"/>
      <c r="F6" s="209"/>
      <c r="G6" s="209"/>
      <c r="H6" s="209"/>
      <c r="I6" s="209"/>
      <c r="J6" s="209"/>
      <c r="K6" s="209"/>
      <c r="L6" s="209"/>
    </row>
    <row r="7" spans="2:12" ht="18" x14ac:dyDescent="0.25"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</row>
    <row r="8" spans="2:12" ht="45" customHeight="1" x14ac:dyDescent="0.25">
      <c r="B8" s="213" t="s">
        <v>6</v>
      </c>
      <c r="C8" s="214"/>
      <c r="D8" s="214"/>
      <c r="E8" s="214"/>
      <c r="F8" s="215"/>
      <c r="G8" s="27" t="s">
        <v>65</v>
      </c>
      <c r="H8" s="27" t="s">
        <v>59</v>
      </c>
      <c r="I8" s="27" t="s">
        <v>60</v>
      </c>
      <c r="J8" s="27" t="s">
        <v>61</v>
      </c>
      <c r="K8" s="27" t="s">
        <v>23</v>
      </c>
      <c r="L8" s="27" t="s">
        <v>52</v>
      </c>
    </row>
    <row r="9" spans="2:12" x14ac:dyDescent="0.25">
      <c r="B9" s="210">
        <v>1</v>
      </c>
      <c r="C9" s="211"/>
      <c r="D9" s="211"/>
      <c r="E9" s="211"/>
      <c r="F9" s="212"/>
      <c r="G9" s="29">
        <v>2</v>
      </c>
      <c r="H9" s="29">
        <v>3</v>
      </c>
      <c r="I9" s="29">
        <v>4</v>
      </c>
      <c r="J9" s="29">
        <v>5</v>
      </c>
      <c r="K9" s="29" t="s">
        <v>37</v>
      </c>
      <c r="L9" s="29" t="s">
        <v>38</v>
      </c>
    </row>
    <row r="10" spans="2:12" x14ac:dyDescent="0.25">
      <c r="B10" s="6"/>
      <c r="C10" s="6"/>
      <c r="D10" s="6"/>
      <c r="E10" s="6"/>
      <c r="F10" s="6" t="s">
        <v>51</v>
      </c>
      <c r="G10" s="49">
        <f>SUM(G11+G30)</f>
        <v>691788.4</v>
      </c>
      <c r="H10" s="44">
        <f>SUM(H11+H31)</f>
        <v>828039.84</v>
      </c>
      <c r="I10" s="44">
        <f>SUM(I11+I31)</f>
        <v>827973.47999999986</v>
      </c>
      <c r="J10" s="44">
        <f>SUM(J11+J31)</f>
        <v>816625.11</v>
      </c>
      <c r="K10" s="50">
        <f>SUM(J10/G10)*100</f>
        <v>118.04550495498334</v>
      </c>
      <c r="L10" s="50">
        <f>SUM(J10/I10)*100</f>
        <v>98.62938001347581</v>
      </c>
    </row>
    <row r="11" spans="2:12" x14ac:dyDescent="0.25">
      <c r="B11" s="6">
        <v>6</v>
      </c>
      <c r="C11" s="6"/>
      <c r="D11" s="6"/>
      <c r="E11" s="6"/>
      <c r="F11" s="6" t="s">
        <v>2</v>
      </c>
      <c r="G11" s="174">
        <f>SUM(G12+G18+G21+G24+G27)</f>
        <v>691695.4</v>
      </c>
      <c r="H11" s="45">
        <f>SUM(H12+H18+H21+H24+H27)</f>
        <v>827966.74</v>
      </c>
      <c r="I11" s="45">
        <f>SUM(I12+I18+I21+I24+I27)</f>
        <v>827900.37999999989</v>
      </c>
      <c r="J11" s="45">
        <f>SUM(J12+J18+J21+J24+J27)</f>
        <v>816552.03</v>
      </c>
      <c r="K11" s="50">
        <f>SUM(J11/G11)*100</f>
        <v>118.05081109401623</v>
      </c>
      <c r="L11" s="50">
        <f>SUM(J11/I11)*100</f>
        <v>98.6292614094464</v>
      </c>
    </row>
    <row r="12" spans="2:12" ht="25.5" x14ac:dyDescent="0.25">
      <c r="B12" s="6"/>
      <c r="C12" s="232">
        <v>63</v>
      </c>
      <c r="D12" s="232"/>
      <c r="E12" s="232"/>
      <c r="F12" s="232" t="s">
        <v>14</v>
      </c>
      <c r="G12" s="233">
        <v>627393.85</v>
      </c>
      <c r="H12" s="141">
        <v>760452.32</v>
      </c>
      <c r="I12" s="141">
        <v>760452.32</v>
      </c>
      <c r="J12" s="143">
        <v>745058.1</v>
      </c>
      <c r="K12" s="233">
        <f>SUM(J12/G12)*100</f>
        <v>118.75444746549555</v>
      </c>
      <c r="L12" s="233">
        <f>SUM(J12/I12)*100</f>
        <v>97.975649544997125</v>
      </c>
    </row>
    <row r="13" spans="2:12" x14ac:dyDescent="0.25">
      <c r="B13" s="7"/>
      <c r="C13" s="7"/>
      <c r="D13" s="136">
        <v>634</v>
      </c>
      <c r="E13" s="136"/>
      <c r="F13" s="136" t="s">
        <v>69</v>
      </c>
      <c r="G13" s="147"/>
      <c r="H13" s="138"/>
      <c r="I13" s="138"/>
      <c r="J13" s="147"/>
      <c r="K13" s="147"/>
      <c r="L13" s="147"/>
    </row>
    <row r="14" spans="2:12" x14ac:dyDescent="0.25">
      <c r="B14" s="7"/>
      <c r="C14" s="7"/>
      <c r="D14" s="7"/>
      <c r="E14" s="7">
        <v>6341</v>
      </c>
      <c r="F14" s="7" t="s">
        <v>70</v>
      </c>
      <c r="G14" s="48"/>
      <c r="H14" s="40"/>
      <c r="I14" s="40"/>
      <c r="J14" s="48"/>
      <c r="K14" s="48"/>
      <c r="L14" s="48"/>
    </row>
    <row r="15" spans="2:12" ht="25.5" x14ac:dyDescent="0.25">
      <c r="B15" s="7"/>
      <c r="C15" s="7"/>
      <c r="D15" s="136">
        <v>636</v>
      </c>
      <c r="E15" s="136"/>
      <c r="F15" s="137" t="s">
        <v>71</v>
      </c>
      <c r="G15" s="147">
        <v>627393.85</v>
      </c>
      <c r="H15" s="138">
        <v>760452.32</v>
      </c>
      <c r="I15" s="138">
        <v>760452.32</v>
      </c>
      <c r="J15" s="147">
        <v>745058.1</v>
      </c>
      <c r="K15" s="147">
        <f t="shared" ref="K15:K33" si="0">SUM(J15/G15)*100</f>
        <v>118.75444746549555</v>
      </c>
      <c r="L15" s="147">
        <f t="shared" ref="L15:L33" si="1">SUM(J15/I15)*100</f>
        <v>97.975649544997125</v>
      </c>
    </row>
    <row r="16" spans="2:12" ht="25.5" x14ac:dyDescent="0.25">
      <c r="B16" s="7"/>
      <c r="C16" s="7"/>
      <c r="D16" s="7"/>
      <c r="E16" s="7">
        <v>6361</v>
      </c>
      <c r="F16" s="21" t="s">
        <v>72</v>
      </c>
      <c r="G16" s="48">
        <v>627250.56999999995</v>
      </c>
      <c r="H16" s="40">
        <v>760452.32</v>
      </c>
      <c r="I16" s="40">
        <v>760452.32</v>
      </c>
      <c r="J16" s="48">
        <v>745058.1</v>
      </c>
      <c r="K16" s="48">
        <f t="shared" si="0"/>
        <v>118.78157400478729</v>
      </c>
      <c r="L16" s="48">
        <f t="shared" si="1"/>
        <v>97.975649544997125</v>
      </c>
    </row>
    <row r="17" spans="2:12" ht="25.5" x14ac:dyDescent="0.25">
      <c r="B17" s="7"/>
      <c r="C17" s="7"/>
      <c r="D17" s="8"/>
      <c r="E17" s="8">
        <v>6362</v>
      </c>
      <c r="F17" s="43" t="s">
        <v>73</v>
      </c>
      <c r="G17" s="48">
        <v>133.28</v>
      </c>
      <c r="H17" s="40"/>
      <c r="I17" s="40"/>
      <c r="J17" s="48"/>
      <c r="K17" s="48">
        <f t="shared" si="0"/>
        <v>0</v>
      </c>
      <c r="L17" s="48" t="e">
        <f t="shared" si="1"/>
        <v>#DIV/0!</v>
      </c>
    </row>
    <row r="18" spans="2:12" x14ac:dyDescent="0.25">
      <c r="B18" s="7"/>
      <c r="C18" s="234">
        <v>64</v>
      </c>
      <c r="D18" s="235"/>
      <c r="E18" s="235"/>
      <c r="F18" s="232" t="s">
        <v>74</v>
      </c>
      <c r="G18" s="233">
        <v>0.66</v>
      </c>
      <c r="H18" s="236">
        <v>1.5</v>
      </c>
      <c r="I18" s="236">
        <v>1.5</v>
      </c>
      <c r="J18" s="233">
        <v>1.02</v>
      </c>
      <c r="K18" s="233">
        <f t="shared" si="0"/>
        <v>154.54545454545453</v>
      </c>
      <c r="L18" s="233">
        <f t="shared" si="1"/>
        <v>68</v>
      </c>
    </row>
    <row r="19" spans="2:12" x14ac:dyDescent="0.25">
      <c r="B19" s="7"/>
      <c r="C19" s="7"/>
      <c r="D19" s="241">
        <v>641</v>
      </c>
      <c r="E19" s="241"/>
      <c r="F19" s="148" t="s">
        <v>75</v>
      </c>
      <c r="G19" s="147">
        <v>0.66</v>
      </c>
      <c r="H19" s="147">
        <v>0.66</v>
      </c>
      <c r="I19" s="138">
        <v>1.5</v>
      </c>
      <c r="J19" s="138">
        <v>1.5</v>
      </c>
      <c r="K19" s="147">
        <v>1.02</v>
      </c>
      <c r="L19" s="147">
        <f t="shared" si="1"/>
        <v>100</v>
      </c>
    </row>
    <row r="20" spans="2:12" ht="15.75" customHeight="1" x14ac:dyDescent="0.25">
      <c r="B20" s="7"/>
      <c r="C20" s="7"/>
      <c r="D20" s="8"/>
      <c r="E20" s="8">
        <v>6413</v>
      </c>
      <c r="F20" s="11" t="s">
        <v>76</v>
      </c>
      <c r="G20" s="48">
        <v>0.66</v>
      </c>
      <c r="H20" s="40">
        <v>1.5</v>
      </c>
      <c r="I20" s="40">
        <v>1.5</v>
      </c>
      <c r="J20" s="48">
        <v>1.02</v>
      </c>
      <c r="K20" s="48">
        <f t="shared" si="0"/>
        <v>154.54545454545453</v>
      </c>
      <c r="L20" s="48">
        <f t="shared" si="1"/>
        <v>68</v>
      </c>
    </row>
    <row r="21" spans="2:12" ht="15.75" customHeight="1" x14ac:dyDescent="0.25">
      <c r="B21" s="7"/>
      <c r="C21" s="234">
        <v>65</v>
      </c>
      <c r="D21" s="235"/>
      <c r="E21" s="235"/>
      <c r="F21" s="232" t="s">
        <v>77</v>
      </c>
      <c r="G21" s="233"/>
      <c r="H21" s="236">
        <v>66.36</v>
      </c>
      <c r="I21" s="236"/>
      <c r="J21" s="233"/>
      <c r="K21" s="233" t="e">
        <f t="shared" si="0"/>
        <v>#DIV/0!</v>
      </c>
      <c r="L21" s="233" t="e">
        <f t="shared" si="1"/>
        <v>#DIV/0!</v>
      </c>
    </row>
    <row r="22" spans="2:12" ht="15.75" customHeight="1" x14ac:dyDescent="0.25">
      <c r="B22" s="7"/>
      <c r="C22" s="7"/>
      <c r="D22" s="241">
        <v>652</v>
      </c>
      <c r="E22" s="241"/>
      <c r="F22" s="148" t="s">
        <v>78</v>
      </c>
      <c r="G22" s="147"/>
      <c r="H22" s="138"/>
      <c r="I22" s="138"/>
      <c r="J22" s="147"/>
      <c r="K22" s="147" t="e">
        <f t="shared" si="0"/>
        <v>#DIV/0!</v>
      </c>
      <c r="L22" s="147" t="e">
        <f t="shared" si="1"/>
        <v>#DIV/0!</v>
      </c>
    </row>
    <row r="23" spans="2:12" ht="15.75" customHeight="1" x14ac:dyDescent="0.25">
      <c r="B23" s="7"/>
      <c r="C23" s="7"/>
      <c r="D23" s="8"/>
      <c r="E23" s="8">
        <v>6526</v>
      </c>
      <c r="F23" s="11" t="s">
        <v>79</v>
      </c>
      <c r="G23" s="48"/>
      <c r="H23" s="40">
        <v>66.36</v>
      </c>
      <c r="I23" s="40"/>
      <c r="J23" s="48"/>
      <c r="K23" s="48" t="e">
        <f t="shared" si="0"/>
        <v>#DIV/0!</v>
      </c>
      <c r="L23" s="48" t="e">
        <f t="shared" si="1"/>
        <v>#DIV/0!</v>
      </c>
    </row>
    <row r="24" spans="2:12" ht="25.5" x14ac:dyDescent="0.25">
      <c r="B24" s="7"/>
      <c r="C24" s="234">
        <v>66</v>
      </c>
      <c r="D24" s="235"/>
      <c r="E24" s="235"/>
      <c r="F24" s="232" t="s">
        <v>16</v>
      </c>
      <c r="G24" s="233">
        <v>953.96</v>
      </c>
      <c r="H24" s="236">
        <v>1698.5</v>
      </c>
      <c r="I24" s="236">
        <v>1698.5</v>
      </c>
      <c r="J24" s="233">
        <v>1691.99</v>
      </c>
      <c r="K24" s="233">
        <f t="shared" si="0"/>
        <v>177.36487903056732</v>
      </c>
      <c r="L24" s="233">
        <f t="shared" si="1"/>
        <v>99.616720635855174</v>
      </c>
    </row>
    <row r="25" spans="2:12" ht="25.5" x14ac:dyDescent="0.25">
      <c r="B25" s="7"/>
      <c r="C25" s="7"/>
      <c r="D25" s="241">
        <v>661</v>
      </c>
      <c r="E25" s="241"/>
      <c r="F25" s="148" t="s">
        <v>30</v>
      </c>
      <c r="G25" s="147">
        <v>953.96</v>
      </c>
      <c r="H25" s="138">
        <v>1698.5</v>
      </c>
      <c r="I25" s="138">
        <v>1698.5</v>
      </c>
      <c r="J25" s="147">
        <v>1691.99</v>
      </c>
      <c r="K25" s="147">
        <f t="shared" si="0"/>
        <v>177.36487903056732</v>
      </c>
      <c r="L25" s="147">
        <f t="shared" si="1"/>
        <v>99.616720635855174</v>
      </c>
    </row>
    <row r="26" spans="2:12" x14ac:dyDescent="0.25">
      <c r="B26" s="7"/>
      <c r="C26" s="17"/>
      <c r="D26" s="8"/>
      <c r="E26" s="8">
        <v>6615</v>
      </c>
      <c r="F26" s="11" t="s">
        <v>80</v>
      </c>
      <c r="G26" s="48">
        <v>953.96</v>
      </c>
      <c r="H26" s="40">
        <v>1698.5</v>
      </c>
      <c r="I26" s="40">
        <v>1698.5</v>
      </c>
      <c r="J26" s="48">
        <v>1691.99</v>
      </c>
      <c r="K26" s="48">
        <f t="shared" si="0"/>
        <v>177.36487903056732</v>
      </c>
      <c r="L26" s="48">
        <f t="shared" si="1"/>
        <v>99.616720635855174</v>
      </c>
    </row>
    <row r="27" spans="2:12" ht="25.5" x14ac:dyDescent="0.25">
      <c r="B27" s="7"/>
      <c r="C27" s="234">
        <v>67</v>
      </c>
      <c r="D27" s="235"/>
      <c r="E27" s="235"/>
      <c r="F27" s="232" t="s">
        <v>81</v>
      </c>
      <c r="G27" s="233">
        <v>63346.93</v>
      </c>
      <c r="H27" s="237">
        <v>65748.06</v>
      </c>
      <c r="I27" s="237">
        <v>65748.06</v>
      </c>
      <c r="J27" s="233">
        <v>69800.92</v>
      </c>
      <c r="K27" s="233">
        <f t="shared" si="0"/>
        <v>110.18832325418137</v>
      </c>
      <c r="L27" s="233">
        <f t="shared" si="1"/>
        <v>106.16422750724507</v>
      </c>
    </row>
    <row r="28" spans="2:12" ht="25.5" x14ac:dyDescent="0.25">
      <c r="B28" s="7"/>
      <c r="C28" s="42"/>
      <c r="D28" s="241">
        <v>671</v>
      </c>
      <c r="E28" s="241"/>
      <c r="F28" s="148" t="s">
        <v>82</v>
      </c>
      <c r="G28" s="147">
        <v>63346.93</v>
      </c>
      <c r="H28" s="138">
        <v>65748.06</v>
      </c>
      <c r="I28" s="138">
        <v>65748.06</v>
      </c>
      <c r="J28" s="138">
        <v>69800.92</v>
      </c>
      <c r="K28" s="147">
        <f t="shared" si="0"/>
        <v>110.18832325418137</v>
      </c>
      <c r="L28" s="147">
        <f t="shared" si="1"/>
        <v>106.16422750724507</v>
      </c>
    </row>
    <row r="29" spans="2:12" ht="25.5" x14ac:dyDescent="0.25">
      <c r="B29" s="7"/>
      <c r="C29" s="42"/>
      <c r="D29" s="8"/>
      <c r="E29" s="8">
        <v>6711</v>
      </c>
      <c r="F29" s="11" t="s">
        <v>83</v>
      </c>
      <c r="G29" s="48">
        <v>63346.93</v>
      </c>
      <c r="H29" s="40">
        <v>65748.06</v>
      </c>
      <c r="I29" s="40">
        <v>65748.06</v>
      </c>
      <c r="J29" s="40">
        <v>69800.92</v>
      </c>
      <c r="K29" s="48">
        <f t="shared" si="0"/>
        <v>110.18832325418137</v>
      </c>
      <c r="L29" s="48">
        <f t="shared" si="1"/>
        <v>106.16422750724507</v>
      </c>
    </row>
    <row r="30" spans="2:12" x14ac:dyDescent="0.25">
      <c r="B30" s="17">
        <v>7</v>
      </c>
      <c r="C30" s="7"/>
      <c r="D30" s="8"/>
      <c r="E30" s="8"/>
      <c r="F30" s="11" t="s">
        <v>21</v>
      </c>
      <c r="G30" s="175">
        <v>93</v>
      </c>
      <c r="H30" s="47">
        <v>73.099999999999994</v>
      </c>
      <c r="I30" s="47">
        <v>73.099999999999994</v>
      </c>
      <c r="J30" s="47">
        <v>73.08</v>
      </c>
      <c r="K30" s="48">
        <f t="shared" si="0"/>
        <v>78.58064516129032</v>
      </c>
      <c r="L30" s="48">
        <f t="shared" si="1"/>
        <v>99.972640218878254</v>
      </c>
    </row>
    <row r="31" spans="2:12" ht="25.5" x14ac:dyDescent="0.25">
      <c r="B31" s="7"/>
      <c r="C31" s="234">
        <v>72</v>
      </c>
      <c r="D31" s="140"/>
      <c r="E31" s="140"/>
      <c r="F31" s="238" t="s">
        <v>22</v>
      </c>
      <c r="G31" s="239">
        <v>93</v>
      </c>
      <c r="H31" s="240">
        <v>73.099999999999994</v>
      </c>
      <c r="I31" s="240">
        <v>73.099999999999994</v>
      </c>
      <c r="J31" s="240">
        <v>73.08</v>
      </c>
      <c r="K31" s="143">
        <f t="shared" si="0"/>
        <v>78.58064516129032</v>
      </c>
      <c r="L31" s="143">
        <f t="shared" si="1"/>
        <v>99.972640218878254</v>
      </c>
    </row>
    <row r="32" spans="2:12" x14ac:dyDescent="0.25">
      <c r="B32" s="7"/>
      <c r="C32" s="7"/>
      <c r="D32" s="136">
        <v>721</v>
      </c>
      <c r="E32" s="136"/>
      <c r="F32" s="137" t="s">
        <v>31</v>
      </c>
      <c r="G32" s="242">
        <v>93</v>
      </c>
      <c r="H32" s="243">
        <v>73.099999999999994</v>
      </c>
      <c r="I32" s="243">
        <v>73.099999999999994</v>
      </c>
      <c r="J32" s="243">
        <v>73.08</v>
      </c>
      <c r="K32" s="147">
        <f t="shared" si="0"/>
        <v>78.58064516129032</v>
      </c>
      <c r="L32" s="147">
        <f t="shared" si="1"/>
        <v>99.972640218878254</v>
      </c>
    </row>
    <row r="33" spans="2:12" x14ac:dyDescent="0.25">
      <c r="B33" s="7"/>
      <c r="C33" s="7"/>
      <c r="D33" s="7"/>
      <c r="E33" s="7">
        <v>7211</v>
      </c>
      <c r="F33" s="21" t="s">
        <v>32</v>
      </c>
      <c r="G33" s="176">
        <v>93</v>
      </c>
      <c r="H33" s="134">
        <v>73.099999999999994</v>
      </c>
      <c r="I33" s="134">
        <v>73.099999999999994</v>
      </c>
      <c r="J33" s="134">
        <v>73.08</v>
      </c>
      <c r="K33" s="48">
        <f t="shared" si="0"/>
        <v>78.58064516129032</v>
      </c>
      <c r="L33" s="48">
        <f t="shared" si="1"/>
        <v>99.972640218878254</v>
      </c>
    </row>
    <row r="34" spans="2:12" ht="18" x14ac:dyDescent="0.25"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</row>
    <row r="35" spans="2:12" ht="25.5" x14ac:dyDescent="0.25">
      <c r="B35" s="213" t="s">
        <v>6</v>
      </c>
      <c r="C35" s="214"/>
      <c r="D35" s="214"/>
      <c r="E35" s="214"/>
      <c r="F35" s="215"/>
      <c r="G35" s="27" t="s">
        <v>65</v>
      </c>
      <c r="H35" s="27" t="s">
        <v>59</v>
      </c>
      <c r="I35" s="27" t="s">
        <v>60</v>
      </c>
      <c r="J35" s="27" t="s">
        <v>61</v>
      </c>
      <c r="K35" s="27" t="s">
        <v>23</v>
      </c>
      <c r="L35" s="27" t="s">
        <v>52</v>
      </c>
    </row>
    <row r="36" spans="2:12" x14ac:dyDescent="0.25">
      <c r="B36" s="210">
        <v>1</v>
      </c>
      <c r="C36" s="211"/>
      <c r="D36" s="211"/>
      <c r="E36" s="211"/>
      <c r="F36" s="212"/>
      <c r="G36" s="29">
        <v>2</v>
      </c>
      <c r="H36" s="29">
        <v>3</v>
      </c>
      <c r="I36" s="29">
        <v>4</v>
      </c>
      <c r="J36" s="29">
        <v>5</v>
      </c>
      <c r="K36" s="29" t="s">
        <v>37</v>
      </c>
      <c r="L36" s="29" t="s">
        <v>38</v>
      </c>
    </row>
    <row r="37" spans="2:12" x14ac:dyDescent="0.25">
      <c r="B37" s="6"/>
      <c r="C37" s="6"/>
      <c r="D37" s="6"/>
      <c r="E37" s="6"/>
      <c r="F37" s="6" t="s">
        <v>50</v>
      </c>
      <c r="G37" s="40">
        <f>SUM(G38+G85)</f>
        <v>691365.17</v>
      </c>
      <c r="H37" s="40">
        <f>SUM(H38+H85)</f>
        <v>832282.38000000012</v>
      </c>
      <c r="I37" s="40">
        <f>SUM(I38+I85)</f>
        <v>832282.38000000012</v>
      </c>
      <c r="J37" s="40">
        <f>SUM(J38+J85)</f>
        <v>816695.64999999991</v>
      </c>
      <c r="K37" s="48">
        <f t="shared" ref="K37:K71" si="2">SUM(J37/G37)*100</f>
        <v>118.12797135846455</v>
      </c>
      <c r="L37" s="48">
        <f t="shared" ref="L37:L71" si="3">SUM(J37/I37)*100</f>
        <v>98.127230568067517</v>
      </c>
    </row>
    <row r="38" spans="2:12" x14ac:dyDescent="0.25">
      <c r="B38" s="6">
        <v>3</v>
      </c>
      <c r="C38" s="6"/>
      <c r="D38" s="6"/>
      <c r="E38" s="6"/>
      <c r="F38" s="6" t="s">
        <v>3</v>
      </c>
      <c r="G38" s="40">
        <f>SUM(G39+G47+G74+G78+G81)</f>
        <v>690638.54</v>
      </c>
      <c r="H38" s="40">
        <f>SUM(H39+H47+H73+H77+H80)</f>
        <v>829514.95000000007</v>
      </c>
      <c r="I38" s="40">
        <f>SUM(I39+I47+I73+I77+I80)</f>
        <v>829514.95000000007</v>
      </c>
      <c r="J38" s="40">
        <f>SUM(J39+J47+J73+J77+J80)</f>
        <v>815909.73999999987</v>
      </c>
      <c r="K38" s="48">
        <f t="shared" si="2"/>
        <v>118.13846067727407</v>
      </c>
      <c r="L38" s="48">
        <f t="shared" si="3"/>
        <v>98.359859578178771</v>
      </c>
    </row>
    <row r="39" spans="2:12" x14ac:dyDescent="0.25">
      <c r="B39" s="6"/>
      <c r="C39" s="142">
        <v>31</v>
      </c>
      <c r="D39" s="142"/>
      <c r="E39" s="142"/>
      <c r="F39" s="142" t="s">
        <v>4</v>
      </c>
      <c r="G39" s="143">
        <v>635699.31999999995</v>
      </c>
      <c r="H39" s="141">
        <f>SUM(H40+H43+H45)</f>
        <v>768597.13</v>
      </c>
      <c r="I39" s="141">
        <f>SUM(I40+I43+I45)</f>
        <v>768597.13</v>
      </c>
      <c r="J39" s="141">
        <f>SUM(J40+J43+J45)</f>
        <v>757695.44</v>
      </c>
      <c r="K39" s="48">
        <f t="shared" si="2"/>
        <v>119.19085268173639</v>
      </c>
      <c r="L39" s="48">
        <f t="shared" si="3"/>
        <v>98.581611929776514</v>
      </c>
    </row>
    <row r="40" spans="2:12" x14ac:dyDescent="0.25">
      <c r="B40" s="7"/>
      <c r="C40" s="7"/>
      <c r="D40" s="136">
        <v>311</v>
      </c>
      <c r="E40" s="136"/>
      <c r="F40" s="136" t="s">
        <v>33</v>
      </c>
      <c r="G40" s="147">
        <v>518015.21</v>
      </c>
      <c r="H40" s="138">
        <f>SUM(623000+6087.96+699.22+617.28+404.13)</f>
        <v>630808.59</v>
      </c>
      <c r="I40" s="138">
        <f>SUM(623000+6087.96+699.22+617.28+404.13)</f>
        <v>630808.59</v>
      </c>
      <c r="J40" s="147">
        <f>SUM(614393.25+6087.96+699.22+3857.33+404.13)</f>
        <v>625441.8899999999</v>
      </c>
      <c r="K40" s="48">
        <f t="shared" si="2"/>
        <v>120.7381323803214</v>
      </c>
      <c r="L40" s="48">
        <f t="shared" si="3"/>
        <v>99.149234794028402</v>
      </c>
    </row>
    <row r="41" spans="2:12" x14ac:dyDescent="0.25">
      <c r="B41" s="7"/>
      <c r="C41" s="7"/>
      <c r="D41" s="7"/>
      <c r="E41" s="7">
        <v>3111</v>
      </c>
      <c r="F41" s="7" t="s">
        <v>34</v>
      </c>
      <c r="G41" s="48">
        <v>518015.21</v>
      </c>
      <c r="H41" s="40">
        <f>SUM(623000+6087.96+699.22+617.28+404.13)</f>
        <v>630808.59</v>
      </c>
      <c r="I41" s="40">
        <f>SUM(623000+6087.96+699.22+617.28+404.13)</f>
        <v>630808.59</v>
      </c>
      <c r="J41" s="48">
        <f>SUM(614393.25+6087.96+699.22+3857.33+404.13)</f>
        <v>625441.8899999999</v>
      </c>
      <c r="K41" s="48">
        <f t="shared" si="2"/>
        <v>120.7381323803214</v>
      </c>
      <c r="L41" s="48">
        <f t="shared" si="3"/>
        <v>99.149234794028402</v>
      </c>
    </row>
    <row r="42" spans="2:12" x14ac:dyDescent="0.25">
      <c r="B42" s="7"/>
      <c r="C42" s="7"/>
      <c r="D42" s="7"/>
      <c r="E42" s="7">
        <v>3113</v>
      </c>
      <c r="F42" s="7" t="s">
        <v>84</v>
      </c>
      <c r="G42" s="48"/>
      <c r="H42" s="40"/>
      <c r="I42" s="40"/>
      <c r="J42" s="48"/>
      <c r="K42" s="48"/>
      <c r="L42" s="48"/>
    </row>
    <row r="43" spans="2:12" x14ac:dyDescent="0.25">
      <c r="B43" s="7"/>
      <c r="C43" s="7"/>
      <c r="D43" s="136">
        <v>312</v>
      </c>
      <c r="E43" s="136"/>
      <c r="F43" s="136" t="s">
        <v>85</v>
      </c>
      <c r="G43" s="147">
        <v>31311.58</v>
      </c>
      <c r="H43" s="138">
        <f>SUM(31839.67+700)</f>
        <v>32539.67</v>
      </c>
      <c r="I43" s="138">
        <f>SUM(31839.67+700)</f>
        <v>32539.67</v>
      </c>
      <c r="J43" s="147">
        <f>SUM(27657.04+1100)</f>
        <v>28757.040000000001</v>
      </c>
      <c r="K43" s="48">
        <f t="shared" si="2"/>
        <v>91.841548717758741</v>
      </c>
      <c r="L43" s="48">
        <f t="shared" si="3"/>
        <v>88.375327715370204</v>
      </c>
    </row>
    <row r="44" spans="2:12" x14ac:dyDescent="0.25">
      <c r="B44" s="7"/>
      <c r="C44" s="7"/>
      <c r="D44" s="7"/>
      <c r="E44" s="7">
        <v>3121</v>
      </c>
      <c r="F44" s="7" t="s">
        <v>85</v>
      </c>
      <c r="G44" s="48">
        <v>31311.58</v>
      </c>
      <c r="H44" s="40">
        <f>SUM(31839.67+700)</f>
        <v>32539.67</v>
      </c>
      <c r="I44" s="40">
        <f>SUM(31839.67+700)</f>
        <v>32539.67</v>
      </c>
      <c r="J44" s="48">
        <f>SUM(27657.04+1100)</f>
        <v>28757.040000000001</v>
      </c>
      <c r="K44" s="48">
        <f t="shared" si="2"/>
        <v>91.841548717758741</v>
      </c>
      <c r="L44" s="48">
        <f t="shared" si="3"/>
        <v>88.375327715370204</v>
      </c>
    </row>
    <row r="45" spans="2:12" x14ac:dyDescent="0.25">
      <c r="B45" s="7"/>
      <c r="C45" s="7"/>
      <c r="D45" s="136">
        <v>313</v>
      </c>
      <c r="E45" s="136"/>
      <c r="F45" s="136" t="s">
        <v>86</v>
      </c>
      <c r="G45" s="147">
        <v>86372.53</v>
      </c>
      <c r="H45" s="138">
        <f>SUM(104000+889.96+358.91)</f>
        <v>105248.87000000001</v>
      </c>
      <c r="I45" s="138">
        <f>SUM(104000+889.96+358.91)</f>
        <v>105248.87000000001</v>
      </c>
      <c r="J45" s="147">
        <f>SUM(101673.48+1825.51-2.48)</f>
        <v>103496.51</v>
      </c>
      <c r="K45" s="48">
        <f t="shared" si="2"/>
        <v>119.82572468353074</v>
      </c>
      <c r="L45" s="48">
        <f t="shared" si="3"/>
        <v>98.335032005569261</v>
      </c>
    </row>
    <row r="46" spans="2:12" x14ac:dyDescent="0.25">
      <c r="B46" s="7"/>
      <c r="C46" s="7"/>
      <c r="D46" s="7"/>
      <c r="E46" s="7">
        <v>3132</v>
      </c>
      <c r="F46" s="7" t="s">
        <v>87</v>
      </c>
      <c r="G46" s="48">
        <v>86372.53</v>
      </c>
      <c r="H46" s="40">
        <f>SUM(104000+889.96+358.91)</f>
        <v>105248.87000000001</v>
      </c>
      <c r="I46" s="40">
        <f>SUM(104000+889.96+358.91)</f>
        <v>105248.87000000001</v>
      </c>
      <c r="J46" s="48">
        <f>SUM(101673.48+1825.51-2.48)</f>
        <v>103496.51</v>
      </c>
      <c r="K46" s="48">
        <f t="shared" si="2"/>
        <v>119.82572468353074</v>
      </c>
      <c r="L46" s="48">
        <f t="shared" si="3"/>
        <v>98.335032005569261</v>
      </c>
    </row>
    <row r="47" spans="2:12" x14ac:dyDescent="0.25">
      <c r="B47" s="7"/>
      <c r="C47" s="139">
        <v>32</v>
      </c>
      <c r="D47" s="140"/>
      <c r="E47" s="140"/>
      <c r="F47" s="139" t="s">
        <v>11</v>
      </c>
      <c r="G47" s="143">
        <v>54599.92</v>
      </c>
      <c r="H47" s="141">
        <f>SUM(H48+H52+H59+H68)</f>
        <v>60669.049999999996</v>
      </c>
      <c r="I47" s="141">
        <f>SUM(I48+I52+I59+I68)</f>
        <v>60669.049999999996</v>
      </c>
      <c r="J47" s="141">
        <f>SUM(J48+J52+J59+J68)</f>
        <v>57999.98</v>
      </c>
      <c r="K47" s="48">
        <f t="shared" si="2"/>
        <v>106.22722524135568</v>
      </c>
      <c r="L47" s="48">
        <f t="shared" si="3"/>
        <v>95.600606899234464</v>
      </c>
    </row>
    <row r="48" spans="2:12" x14ac:dyDescent="0.25">
      <c r="B48" s="7"/>
      <c r="C48" s="7"/>
      <c r="D48" s="136">
        <v>321</v>
      </c>
      <c r="E48" s="136"/>
      <c r="F48" s="136" t="s">
        <v>35</v>
      </c>
      <c r="G48" s="147">
        <v>15221.51</v>
      </c>
      <c r="H48" s="138">
        <f>SUM(H49:H51)</f>
        <v>14843.859999999999</v>
      </c>
      <c r="I48" s="138">
        <f>SUM(I49:I51)</f>
        <v>14843.859999999999</v>
      </c>
      <c r="J48" s="138">
        <f>SUM(J49:J51)</f>
        <v>15157.990000000002</v>
      </c>
      <c r="K48" s="48">
        <f t="shared" si="2"/>
        <v>99.582695803504393</v>
      </c>
      <c r="L48" s="48">
        <f t="shared" si="3"/>
        <v>102.11622852815914</v>
      </c>
    </row>
    <row r="49" spans="2:12" x14ac:dyDescent="0.25">
      <c r="B49" s="7"/>
      <c r="C49" s="17"/>
      <c r="D49" s="7"/>
      <c r="E49" s="7">
        <v>3211</v>
      </c>
      <c r="F49" s="21" t="s">
        <v>36</v>
      </c>
      <c r="G49" s="48">
        <v>161.97</v>
      </c>
      <c r="H49" s="40">
        <f>SUM(139.36+440)</f>
        <v>579.36</v>
      </c>
      <c r="I49" s="40">
        <f>SUM(139.36+440)</f>
        <v>579.36</v>
      </c>
      <c r="J49" s="48">
        <f>SUM(45.2+608.1)</f>
        <v>653.30000000000007</v>
      </c>
      <c r="K49" s="48">
        <f t="shared" si="2"/>
        <v>403.34629869728963</v>
      </c>
      <c r="L49" s="48">
        <f t="shared" si="3"/>
        <v>112.76235846451257</v>
      </c>
    </row>
    <row r="50" spans="2:12" ht="25.5" x14ac:dyDescent="0.25">
      <c r="B50" s="7"/>
      <c r="C50" s="17"/>
      <c r="D50" s="7"/>
      <c r="E50" s="7">
        <v>3212</v>
      </c>
      <c r="F50" s="21" t="s">
        <v>88</v>
      </c>
      <c r="G50" s="48">
        <v>14398.54</v>
      </c>
      <c r="H50" s="40">
        <f>SUM(13200+315.89+124.71)</f>
        <v>13640.599999999999</v>
      </c>
      <c r="I50" s="40">
        <f>SUM(13200+315.89+124.71)</f>
        <v>13640.599999999999</v>
      </c>
      <c r="J50" s="48">
        <f>SUM(12548.74+415.04-7.47)</f>
        <v>12956.310000000001</v>
      </c>
      <c r="K50" s="48">
        <f t="shared" si="2"/>
        <v>89.983498326913704</v>
      </c>
      <c r="L50" s="48">
        <f t="shared" si="3"/>
        <v>94.983431813849847</v>
      </c>
    </row>
    <row r="51" spans="2:12" x14ac:dyDescent="0.25">
      <c r="B51" s="7"/>
      <c r="C51" s="17"/>
      <c r="D51" s="7"/>
      <c r="E51" s="7">
        <v>3213</v>
      </c>
      <c r="F51" s="21" t="s">
        <v>89</v>
      </c>
      <c r="G51" s="48">
        <v>661</v>
      </c>
      <c r="H51" s="40">
        <f>SUM(92.9+531)</f>
        <v>623.9</v>
      </c>
      <c r="I51" s="40">
        <f>SUM(92.9+531)</f>
        <v>623.9</v>
      </c>
      <c r="J51" s="48">
        <f>SUM(133.38+1415)</f>
        <v>1548.38</v>
      </c>
      <c r="K51" s="48">
        <f t="shared" si="2"/>
        <v>234.2481089258699</v>
      </c>
      <c r="L51" s="48">
        <f t="shared" si="3"/>
        <v>248.17759256291075</v>
      </c>
    </row>
    <row r="52" spans="2:12" x14ac:dyDescent="0.25">
      <c r="B52" s="7"/>
      <c r="C52" s="135"/>
      <c r="D52" s="136">
        <v>322</v>
      </c>
      <c r="E52" s="136"/>
      <c r="F52" s="137" t="s">
        <v>90</v>
      </c>
      <c r="G52" s="147">
        <v>19126.650000000001</v>
      </c>
      <c r="H52" s="138">
        <f>SUM(H53:H58)</f>
        <v>24198.460000000003</v>
      </c>
      <c r="I52" s="138">
        <f>SUM(I53:I58)</f>
        <v>24198.460000000003</v>
      </c>
      <c r="J52" s="138">
        <f>SUM(J53:J58)</f>
        <v>21610.92</v>
      </c>
      <c r="K52" s="48">
        <f t="shared" si="2"/>
        <v>112.98852648006836</v>
      </c>
      <c r="L52" s="48">
        <f t="shared" si="3"/>
        <v>89.30700548712602</v>
      </c>
    </row>
    <row r="53" spans="2:12" x14ac:dyDescent="0.25">
      <c r="B53" s="7"/>
      <c r="C53" s="17"/>
      <c r="D53" s="7"/>
      <c r="E53" s="7">
        <v>3221</v>
      </c>
      <c r="F53" s="21" t="s">
        <v>91</v>
      </c>
      <c r="G53" s="48">
        <v>2679.26</v>
      </c>
      <c r="H53" s="40">
        <f>SUM(921.26+620+2850+400)</f>
        <v>4791.26</v>
      </c>
      <c r="I53" s="40">
        <f>SUM(921.26+620+2850+400)</f>
        <v>4791.26</v>
      </c>
      <c r="J53" s="40">
        <f>SUM(365.89+587.01+3056.72+399.93)</f>
        <v>4409.55</v>
      </c>
      <c r="K53" s="48">
        <f t="shared" si="2"/>
        <v>164.58089173876368</v>
      </c>
      <c r="L53" s="48">
        <f t="shared" si="3"/>
        <v>92.033202122197494</v>
      </c>
    </row>
    <row r="54" spans="2:12" x14ac:dyDescent="0.25">
      <c r="B54" s="7"/>
      <c r="C54" s="17"/>
      <c r="D54" s="7"/>
      <c r="E54" s="7">
        <v>3222</v>
      </c>
      <c r="F54" s="21" t="s">
        <v>92</v>
      </c>
      <c r="G54" s="48">
        <v>3157.55</v>
      </c>
      <c r="H54" s="40">
        <f>SUM(638.57+2489+1100)</f>
        <v>4227.57</v>
      </c>
      <c r="I54" s="40">
        <f>SUM(638.57+2489+1100)</f>
        <v>4227.57</v>
      </c>
      <c r="J54" s="48">
        <f>SUM(342.35+2520.66+1100.07)</f>
        <v>3963.08</v>
      </c>
      <c r="K54" s="48">
        <f t="shared" si="2"/>
        <v>125.51123497648493</v>
      </c>
      <c r="L54" s="48">
        <f t="shared" si="3"/>
        <v>93.743687271884326</v>
      </c>
    </row>
    <row r="55" spans="2:12" x14ac:dyDescent="0.25">
      <c r="B55" s="7"/>
      <c r="C55" s="17"/>
      <c r="D55" s="7"/>
      <c r="E55" s="7">
        <v>3223</v>
      </c>
      <c r="F55" s="21" t="s">
        <v>93</v>
      </c>
      <c r="G55" s="48">
        <v>11968.71</v>
      </c>
      <c r="H55" s="40">
        <f>SUM(173.68+13193.25)</f>
        <v>13366.93</v>
      </c>
      <c r="I55" s="40">
        <f>SUM(173.68+13193.25)</f>
        <v>13366.93</v>
      </c>
      <c r="J55" s="48">
        <f>SUM(6.17+11789.55)</f>
        <v>11795.72</v>
      </c>
      <c r="K55" s="48">
        <f t="shared" si="2"/>
        <v>98.554647911094847</v>
      </c>
      <c r="L55" s="48">
        <f t="shared" si="3"/>
        <v>88.245543292289256</v>
      </c>
    </row>
    <row r="56" spans="2:12" ht="25.5" x14ac:dyDescent="0.25">
      <c r="B56" s="7"/>
      <c r="C56" s="17"/>
      <c r="D56" s="7"/>
      <c r="E56" s="7">
        <v>3224</v>
      </c>
      <c r="F56" s="21" t="s">
        <v>94</v>
      </c>
      <c r="G56" s="48">
        <v>781.99</v>
      </c>
      <c r="H56" s="40">
        <v>747.7</v>
      </c>
      <c r="I56" s="40">
        <v>747.7</v>
      </c>
      <c r="J56" s="48">
        <v>771.12</v>
      </c>
      <c r="K56" s="48">
        <f t="shared" si="2"/>
        <v>98.609956649061999</v>
      </c>
      <c r="L56" s="48">
        <f t="shared" si="3"/>
        <v>103.13227230172528</v>
      </c>
    </row>
    <row r="57" spans="2:12" x14ac:dyDescent="0.25">
      <c r="B57" s="7"/>
      <c r="C57" s="17"/>
      <c r="D57" s="7"/>
      <c r="E57" s="7">
        <v>3225</v>
      </c>
      <c r="F57" s="21" t="s">
        <v>95</v>
      </c>
      <c r="G57" s="48">
        <v>396.99</v>
      </c>
      <c r="H57" s="40">
        <f>SUM(500+300)</f>
        <v>800</v>
      </c>
      <c r="I57" s="40">
        <f>SUM(500+300)</f>
        <v>800</v>
      </c>
      <c r="J57" s="48">
        <f>SUM(139.93+298.97)</f>
        <v>438.90000000000003</v>
      </c>
      <c r="K57" s="48">
        <f t="shared" si="2"/>
        <v>110.55694098088114</v>
      </c>
      <c r="L57" s="48">
        <f t="shared" si="3"/>
        <v>54.862500000000004</v>
      </c>
    </row>
    <row r="58" spans="2:12" x14ac:dyDescent="0.25">
      <c r="B58" s="7"/>
      <c r="C58" s="17"/>
      <c r="D58" s="7"/>
      <c r="E58" s="7">
        <v>3227</v>
      </c>
      <c r="F58" s="21" t="s">
        <v>97</v>
      </c>
      <c r="G58" s="48">
        <v>142.15</v>
      </c>
      <c r="H58" s="40">
        <v>265</v>
      </c>
      <c r="I58" s="40">
        <v>265</v>
      </c>
      <c r="J58" s="48">
        <v>232.55</v>
      </c>
      <c r="K58" s="48">
        <f t="shared" si="2"/>
        <v>163.59479423144566</v>
      </c>
      <c r="L58" s="48">
        <f t="shared" si="3"/>
        <v>87.754716981132077</v>
      </c>
    </row>
    <row r="59" spans="2:12" x14ac:dyDescent="0.25">
      <c r="B59" s="7"/>
      <c r="C59" s="17"/>
      <c r="D59" s="136">
        <v>323</v>
      </c>
      <c r="E59" s="136"/>
      <c r="F59" s="137" t="s">
        <v>96</v>
      </c>
      <c r="G59" s="147">
        <v>19425.68</v>
      </c>
      <c r="H59" s="138">
        <f>SUM(H60:H67)</f>
        <v>20391.989999999998</v>
      </c>
      <c r="I59" s="138">
        <f>SUM(I60:I67)</f>
        <v>20391.989999999998</v>
      </c>
      <c r="J59" s="138">
        <f>SUM(J60:J67)</f>
        <v>19960.920000000002</v>
      </c>
      <c r="K59" s="48">
        <f t="shared" si="2"/>
        <v>102.75532182142402</v>
      </c>
      <c r="L59" s="48">
        <f t="shared" si="3"/>
        <v>97.886081740918883</v>
      </c>
    </row>
    <row r="60" spans="2:12" x14ac:dyDescent="0.25">
      <c r="B60" s="7"/>
      <c r="C60" s="17"/>
      <c r="D60" s="7"/>
      <c r="E60" s="7">
        <v>3231</v>
      </c>
      <c r="F60" s="21" t="s">
        <v>98</v>
      </c>
      <c r="G60" s="48">
        <v>2691.89</v>
      </c>
      <c r="H60" s="40">
        <f>SUM(126.09+498.89+400+2398)</f>
        <v>3422.98</v>
      </c>
      <c r="I60" s="40">
        <f>SUM(126.09+498.89+400+2398)</f>
        <v>3422.98</v>
      </c>
      <c r="J60" s="40">
        <f>SUM(38.95+97.2+12.98+2531.71)</f>
        <v>2680.84</v>
      </c>
      <c r="K60" s="48">
        <f t="shared" si="2"/>
        <v>99.589507743629952</v>
      </c>
      <c r="L60" s="48">
        <f t="shared" si="3"/>
        <v>78.318891725923038</v>
      </c>
    </row>
    <row r="61" spans="2:12" x14ac:dyDescent="0.25">
      <c r="B61" s="7"/>
      <c r="C61" s="17"/>
      <c r="D61" s="7"/>
      <c r="E61" s="7">
        <v>3232</v>
      </c>
      <c r="F61" s="21" t="s">
        <v>99</v>
      </c>
      <c r="G61" s="48">
        <v>1559.48</v>
      </c>
      <c r="H61" s="40">
        <v>993</v>
      </c>
      <c r="I61" s="40">
        <v>993</v>
      </c>
      <c r="J61" s="48">
        <v>583.36</v>
      </c>
      <c r="K61" s="48">
        <f t="shared" si="2"/>
        <v>37.407340908507962</v>
      </c>
      <c r="L61" s="48">
        <f t="shared" si="3"/>
        <v>58.747230614300108</v>
      </c>
    </row>
    <row r="62" spans="2:12" x14ac:dyDescent="0.25">
      <c r="B62" s="7"/>
      <c r="C62" s="17"/>
      <c r="D62" s="7"/>
      <c r="E62" s="7">
        <v>3233</v>
      </c>
      <c r="F62" s="21" t="s">
        <v>205</v>
      </c>
      <c r="G62" s="48"/>
      <c r="H62" s="40">
        <v>400</v>
      </c>
      <c r="I62" s="40">
        <v>400</v>
      </c>
      <c r="J62" s="48">
        <v>910</v>
      </c>
      <c r="K62" s="48"/>
      <c r="L62" s="48">
        <f t="shared" si="3"/>
        <v>227.5</v>
      </c>
    </row>
    <row r="63" spans="2:12" x14ac:dyDescent="0.25">
      <c r="B63" s="7"/>
      <c r="C63" s="17"/>
      <c r="D63" s="7"/>
      <c r="E63" s="7">
        <v>3234</v>
      </c>
      <c r="F63" s="21" t="s">
        <v>100</v>
      </c>
      <c r="G63" s="48">
        <v>9361.1299999999992</v>
      </c>
      <c r="H63" s="40">
        <v>9476.31</v>
      </c>
      <c r="I63" s="40">
        <v>9476.31</v>
      </c>
      <c r="J63" s="48">
        <v>9596.81</v>
      </c>
      <c r="K63" s="48">
        <f t="shared" si="2"/>
        <v>102.51764477151796</v>
      </c>
      <c r="L63" s="48">
        <f t="shared" si="3"/>
        <v>101.27159200152802</v>
      </c>
    </row>
    <row r="64" spans="2:12" x14ac:dyDescent="0.25">
      <c r="B64" s="7"/>
      <c r="C64" s="17"/>
      <c r="D64" s="7"/>
      <c r="E64" s="7">
        <v>3236</v>
      </c>
      <c r="F64" s="21" t="s">
        <v>101</v>
      </c>
      <c r="G64" s="48">
        <v>1274.1600000000001</v>
      </c>
      <c r="H64" s="40">
        <v>1280</v>
      </c>
      <c r="I64" s="40">
        <v>1280</v>
      </c>
      <c r="J64" s="48">
        <v>1499.85</v>
      </c>
      <c r="K64" s="48">
        <f t="shared" si="2"/>
        <v>117.71284611037858</v>
      </c>
      <c r="L64" s="48">
        <f t="shared" si="3"/>
        <v>117.17578124999999</v>
      </c>
    </row>
    <row r="65" spans="2:12" x14ac:dyDescent="0.25">
      <c r="B65" s="7"/>
      <c r="C65" s="17"/>
      <c r="D65" s="7"/>
      <c r="E65" s="7">
        <v>3237</v>
      </c>
      <c r="F65" s="21" t="s">
        <v>206</v>
      </c>
      <c r="G65" s="48">
        <v>606.70000000000005</v>
      </c>
      <c r="H65" s="40">
        <v>606.70000000000005</v>
      </c>
      <c r="I65" s="40">
        <v>606.70000000000005</v>
      </c>
      <c r="J65" s="48">
        <v>606.70000000000005</v>
      </c>
      <c r="K65" s="48">
        <f t="shared" si="2"/>
        <v>100</v>
      </c>
      <c r="L65" s="48">
        <f t="shared" si="3"/>
        <v>100</v>
      </c>
    </row>
    <row r="66" spans="2:12" x14ac:dyDescent="0.25">
      <c r="B66" s="7"/>
      <c r="C66" s="17"/>
      <c r="D66" s="7"/>
      <c r="E66" s="7">
        <v>3238</v>
      </c>
      <c r="F66" s="21" t="s">
        <v>102</v>
      </c>
      <c r="G66" s="48">
        <v>2422.52</v>
      </c>
      <c r="H66" s="40">
        <v>2700</v>
      </c>
      <c r="I66" s="40">
        <v>2700</v>
      </c>
      <c r="J66" s="48">
        <v>2634.7</v>
      </c>
      <c r="K66" s="48">
        <f t="shared" si="2"/>
        <v>108.75864801941779</v>
      </c>
      <c r="L66" s="48">
        <f t="shared" si="3"/>
        <v>97.581481481481475</v>
      </c>
    </row>
    <row r="67" spans="2:12" x14ac:dyDescent="0.25">
      <c r="B67" s="7"/>
      <c r="C67" s="17"/>
      <c r="D67" s="7"/>
      <c r="E67" s="7">
        <v>3239</v>
      </c>
      <c r="F67" s="21" t="s">
        <v>103</v>
      </c>
      <c r="G67" s="48">
        <v>1509.8</v>
      </c>
      <c r="H67" s="40">
        <v>1513</v>
      </c>
      <c r="I67" s="40">
        <v>1513</v>
      </c>
      <c r="J67" s="48">
        <v>1448.66</v>
      </c>
      <c r="K67" s="48">
        <f t="shared" si="2"/>
        <v>95.950457014174077</v>
      </c>
      <c r="L67" s="48">
        <f t="shared" si="3"/>
        <v>95.747521480502314</v>
      </c>
    </row>
    <row r="68" spans="2:12" x14ac:dyDescent="0.25">
      <c r="B68" s="7"/>
      <c r="C68" s="17"/>
      <c r="D68" s="136">
        <v>329</v>
      </c>
      <c r="E68" s="136"/>
      <c r="F68" s="137" t="s">
        <v>104</v>
      </c>
      <c r="G68" s="147">
        <v>826.08</v>
      </c>
      <c r="H68" s="138">
        <f>SUM(H69:H72)</f>
        <v>1234.74</v>
      </c>
      <c r="I68" s="138">
        <f>SUM(I69:I72)</f>
        <v>1234.74</v>
      </c>
      <c r="J68" s="138">
        <f>SUM(J69:J72)</f>
        <v>1270.1500000000001</v>
      </c>
      <c r="K68" s="48">
        <f t="shared" si="2"/>
        <v>153.75629478985087</v>
      </c>
      <c r="L68" s="48">
        <f t="shared" si="3"/>
        <v>102.86781022725432</v>
      </c>
    </row>
    <row r="69" spans="2:12" x14ac:dyDescent="0.25">
      <c r="B69" s="7"/>
      <c r="C69" s="17"/>
      <c r="D69" s="7"/>
      <c r="E69" s="7">
        <v>3292</v>
      </c>
      <c r="F69" s="21" t="s">
        <v>105</v>
      </c>
      <c r="G69" s="48"/>
      <c r="H69" s="40">
        <v>404.74</v>
      </c>
      <c r="I69" s="40">
        <v>404.74</v>
      </c>
      <c r="J69" s="48"/>
      <c r="K69" s="48"/>
      <c r="L69" s="48">
        <f t="shared" si="3"/>
        <v>0</v>
      </c>
    </row>
    <row r="70" spans="2:12" x14ac:dyDescent="0.25">
      <c r="B70" s="7"/>
      <c r="C70" s="17"/>
      <c r="D70" s="7"/>
      <c r="E70" s="7">
        <v>3293</v>
      </c>
      <c r="F70" s="21" t="s">
        <v>106</v>
      </c>
      <c r="G70" s="48">
        <v>262.01</v>
      </c>
      <c r="H70" s="40">
        <v>265</v>
      </c>
      <c r="I70" s="40">
        <v>265</v>
      </c>
      <c r="J70" s="48">
        <v>647.35</v>
      </c>
      <c r="K70" s="48">
        <f t="shared" si="2"/>
        <v>247.07072249150798</v>
      </c>
      <c r="L70" s="48">
        <f t="shared" si="3"/>
        <v>244.28301886792454</v>
      </c>
    </row>
    <row r="71" spans="2:12" x14ac:dyDescent="0.25">
      <c r="B71" s="7"/>
      <c r="C71" s="17"/>
      <c r="D71" s="7"/>
      <c r="E71" s="7">
        <v>3294</v>
      </c>
      <c r="F71" s="21" t="s">
        <v>107</v>
      </c>
      <c r="G71" s="48">
        <v>174.82</v>
      </c>
      <c r="H71" s="40">
        <v>175</v>
      </c>
      <c r="I71" s="40">
        <v>175</v>
      </c>
      <c r="J71" s="48">
        <v>180</v>
      </c>
      <c r="K71" s="48">
        <f t="shared" si="2"/>
        <v>102.96304770621212</v>
      </c>
      <c r="L71" s="48">
        <f t="shared" si="3"/>
        <v>102.85714285714285</v>
      </c>
    </row>
    <row r="72" spans="2:12" x14ac:dyDescent="0.25">
      <c r="B72" s="7"/>
      <c r="C72" s="17"/>
      <c r="D72" s="7"/>
      <c r="E72" s="7">
        <v>3299</v>
      </c>
      <c r="F72" s="21" t="s">
        <v>104</v>
      </c>
      <c r="G72" s="48">
        <v>389.25</v>
      </c>
      <c r="H72" s="40">
        <v>390</v>
      </c>
      <c r="I72" s="40">
        <v>390</v>
      </c>
      <c r="J72" s="48">
        <v>442.8</v>
      </c>
      <c r="K72" s="48">
        <f t="shared" ref="K72:K90" si="4">SUM(J72/G72)*100</f>
        <v>113.75722543352602</v>
      </c>
      <c r="L72" s="48">
        <f t="shared" ref="L72:L90" si="5">SUM(J72/I72)*100</f>
        <v>113.53846153846155</v>
      </c>
    </row>
    <row r="73" spans="2:12" x14ac:dyDescent="0.25">
      <c r="B73" s="7"/>
      <c r="C73" s="144">
        <v>34</v>
      </c>
      <c r="D73" s="139"/>
      <c r="E73" s="139"/>
      <c r="F73" s="145" t="s">
        <v>108</v>
      </c>
      <c r="G73" s="143">
        <v>118.95</v>
      </c>
      <c r="H73" s="141">
        <f>SUM(H74)</f>
        <v>145.27000000000001</v>
      </c>
      <c r="I73" s="141">
        <f>SUM(I74)</f>
        <v>145.27000000000001</v>
      </c>
      <c r="J73" s="141">
        <f>SUM(J74)</f>
        <v>111.32000000000001</v>
      </c>
      <c r="K73" s="48">
        <f t="shared" si="4"/>
        <v>93.585540142917196</v>
      </c>
      <c r="L73" s="48">
        <f t="shared" si="5"/>
        <v>76.62972396227714</v>
      </c>
    </row>
    <row r="74" spans="2:12" x14ac:dyDescent="0.25">
      <c r="B74" s="7"/>
      <c r="C74" s="17"/>
      <c r="D74" s="136">
        <v>343</v>
      </c>
      <c r="E74" s="136"/>
      <c r="F74" s="137" t="s">
        <v>109</v>
      </c>
      <c r="G74" s="147">
        <v>118.95</v>
      </c>
      <c r="H74" s="138">
        <f>SUM(H75:H76)</f>
        <v>145.27000000000001</v>
      </c>
      <c r="I74" s="138">
        <f>SUM(I75:I76)</f>
        <v>145.27000000000001</v>
      </c>
      <c r="J74" s="138">
        <f>SUM(J75:J76)</f>
        <v>111.32000000000001</v>
      </c>
      <c r="K74" s="48">
        <f t="shared" si="4"/>
        <v>93.585540142917196</v>
      </c>
      <c r="L74" s="48">
        <f t="shared" si="5"/>
        <v>76.62972396227714</v>
      </c>
    </row>
    <row r="75" spans="2:12" x14ac:dyDescent="0.25">
      <c r="B75" s="7"/>
      <c r="C75" s="17"/>
      <c r="D75" s="7"/>
      <c r="E75" s="7">
        <v>3431</v>
      </c>
      <c r="F75" s="21" t="s">
        <v>110</v>
      </c>
      <c r="G75" s="48">
        <v>110.89</v>
      </c>
      <c r="H75" s="40">
        <v>132</v>
      </c>
      <c r="I75" s="40">
        <v>132</v>
      </c>
      <c r="J75" s="48">
        <v>107.53</v>
      </c>
      <c r="K75" s="48">
        <f t="shared" si="4"/>
        <v>96.969970240779148</v>
      </c>
      <c r="L75" s="48">
        <f t="shared" si="5"/>
        <v>81.462121212121204</v>
      </c>
    </row>
    <row r="76" spans="2:12" x14ac:dyDescent="0.25">
      <c r="B76" s="7"/>
      <c r="C76" s="17"/>
      <c r="D76" s="7"/>
      <c r="E76" s="7">
        <v>3433</v>
      </c>
      <c r="F76" s="21" t="s">
        <v>111</v>
      </c>
      <c r="G76" s="48">
        <v>8.06</v>
      </c>
      <c r="H76" s="40">
        <v>13.27</v>
      </c>
      <c r="I76" s="40">
        <v>13.27</v>
      </c>
      <c r="J76" s="48">
        <v>3.79</v>
      </c>
      <c r="K76" s="48">
        <f t="shared" si="4"/>
        <v>47.022332506203476</v>
      </c>
      <c r="L76" s="48">
        <f t="shared" si="5"/>
        <v>28.560663149962323</v>
      </c>
    </row>
    <row r="77" spans="2:12" ht="25.5" x14ac:dyDescent="0.25">
      <c r="B77" s="7"/>
      <c r="C77" s="144">
        <v>37</v>
      </c>
      <c r="D77" s="139"/>
      <c r="E77" s="139"/>
      <c r="F77" s="145" t="s">
        <v>112</v>
      </c>
      <c r="G77" s="143">
        <v>117.54</v>
      </c>
      <c r="H77" s="141">
        <f>SUM(H78)</f>
        <v>0</v>
      </c>
      <c r="I77" s="141"/>
      <c r="J77" s="143"/>
      <c r="K77" s="48">
        <f t="shared" si="4"/>
        <v>0</v>
      </c>
      <c r="L77" s="48"/>
    </row>
    <row r="78" spans="2:12" ht="25.5" x14ac:dyDescent="0.25">
      <c r="B78" s="7"/>
      <c r="C78" s="135"/>
      <c r="D78" s="136">
        <v>372</v>
      </c>
      <c r="E78" s="136"/>
      <c r="F78" s="137" t="s">
        <v>113</v>
      </c>
      <c r="G78" s="147">
        <v>117.54</v>
      </c>
      <c r="H78" s="138"/>
      <c r="I78" s="138"/>
      <c r="J78" s="147"/>
      <c r="K78" s="48">
        <f t="shared" si="4"/>
        <v>0</v>
      </c>
      <c r="L78" s="48" t="e">
        <f t="shared" si="5"/>
        <v>#DIV/0!</v>
      </c>
    </row>
    <row r="79" spans="2:12" x14ac:dyDescent="0.25">
      <c r="B79" s="7"/>
      <c r="C79" s="17"/>
      <c r="D79" s="7"/>
      <c r="E79" s="7">
        <v>3722</v>
      </c>
      <c r="F79" s="21" t="s">
        <v>114</v>
      </c>
      <c r="G79" s="48">
        <v>117.54</v>
      </c>
      <c r="H79" s="40"/>
      <c r="I79" s="40"/>
      <c r="J79" s="48"/>
      <c r="K79" s="48">
        <f t="shared" si="4"/>
        <v>0</v>
      </c>
      <c r="L79" s="48" t="e">
        <f t="shared" si="5"/>
        <v>#DIV/0!</v>
      </c>
    </row>
    <row r="80" spans="2:12" ht="24" customHeight="1" x14ac:dyDescent="0.25">
      <c r="B80" s="7"/>
      <c r="C80" s="144">
        <v>38</v>
      </c>
      <c r="D80" s="139"/>
      <c r="E80" s="139"/>
      <c r="F80" s="145" t="s">
        <v>115</v>
      </c>
      <c r="G80" s="143">
        <v>102.81</v>
      </c>
      <c r="H80" s="143">
        <v>103.5</v>
      </c>
      <c r="I80" s="143">
        <v>103.5</v>
      </c>
      <c r="J80" s="143">
        <v>103</v>
      </c>
      <c r="K80" s="48">
        <f t="shared" si="4"/>
        <v>100.18480692539636</v>
      </c>
      <c r="L80" s="48">
        <f t="shared" si="5"/>
        <v>99.516908212560381</v>
      </c>
    </row>
    <row r="81" spans="2:12" x14ac:dyDescent="0.25">
      <c r="B81" s="7"/>
      <c r="C81" s="17"/>
      <c r="D81" s="136">
        <v>381</v>
      </c>
      <c r="E81" s="136"/>
      <c r="F81" s="137" t="s">
        <v>115</v>
      </c>
      <c r="G81" s="147">
        <v>102.81</v>
      </c>
      <c r="H81" s="147">
        <v>103.5</v>
      </c>
      <c r="I81" s="147">
        <v>103.5</v>
      </c>
      <c r="J81" s="147">
        <v>103</v>
      </c>
      <c r="K81" s="48">
        <f t="shared" si="4"/>
        <v>100.18480692539636</v>
      </c>
      <c r="L81" s="48">
        <f t="shared" si="5"/>
        <v>99.516908212560381</v>
      </c>
    </row>
    <row r="82" spans="2:12" x14ac:dyDescent="0.25">
      <c r="B82" s="7"/>
      <c r="C82" s="17"/>
      <c r="D82" s="8"/>
      <c r="E82" s="8">
        <v>3812</v>
      </c>
      <c r="F82" s="42" t="s">
        <v>116</v>
      </c>
      <c r="G82" s="48">
        <v>102.81</v>
      </c>
      <c r="H82" s="48">
        <v>103.5</v>
      </c>
      <c r="I82" s="48">
        <v>103.5</v>
      </c>
      <c r="J82" s="48">
        <v>103</v>
      </c>
      <c r="K82" s="48">
        <f t="shared" si="4"/>
        <v>100.18480692539636</v>
      </c>
      <c r="L82" s="48">
        <f t="shared" si="5"/>
        <v>99.516908212560381</v>
      </c>
    </row>
    <row r="83" spans="2:12" x14ac:dyDescent="0.25">
      <c r="B83" s="7"/>
      <c r="C83" s="7"/>
      <c r="D83" s="8"/>
      <c r="E83" s="8"/>
      <c r="F83" s="8"/>
      <c r="G83" s="46"/>
      <c r="H83" s="40"/>
      <c r="I83" s="40"/>
      <c r="J83" s="46"/>
      <c r="K83" s="48"/>
      <c r="L83" s="48"/>
    </row>
    <row r="84" spans="2:12" x14ac:dyDescent="0.25">
      <c r="B84" s="9">
        <v>4</v>
      </c>
      <c r="C84" s="10"/>
      <c r="D84" s="10"/>
      <c r="E84" s="10"/>
      <c r="F84" s="15" t="s">
        <v>5</v>
      </c>
      <c r="G84" s="46">
        <v>726.63</v>
      </c>
      <c r="H84" s="40"/>
      <c r="I84" s="40"/>
      <c r="J84" s="46"/>
      <c r="K84" s="48">
        <f t="shared" si="4"/>
        <v>0</v>
      </c>
      <c r="L84" s="48" t="e">
        <f t="shared" si="5"/>
        <v>#DIV/0!</v>
      </c>
    </row>
    <row r="85" spans="2:12" ht="22.5" customHeight="1" x14ac:dyDescent="0.25">
      <c r="B85" s="11"/>
      <c r="C85" s="142">
        <v>42</v>
      </c>
      <c r="D85" s="142"/>
      <c r="E85" s="142"/>
      <c r="F85" s="146" t="s">
        <v>117</v>
      </c>
      <c r="G85" s="177">
        <v>726.63</v>
      </c>
      <c r="H85" s="141">
        <f>SUM(H86+H89)</f>
        <v>2767.4300000000003</v>
      </c>
      <c r="I85" s="141">
        <f>SUM(I86+I89)</f>
        <v>2767.4300000000003</v>
      </c>
      <c r="J85" s="141">
        <f>SUM(J86+J89)</f>
        <v>785.91</v>
      </c>
      <c r="K85" s="48">
        <f t="shared" si="4"/>
        <v>108.15820981792659</v>
      </c>
      <c r="L85" s="48">
        <f t="shared" si="5"/>
        <v>28.398550279501194</v>
      </c>
    </row>
    <row r="86" spans="2:12" ht="22.5" customHeight="1" x14ac:dyDescent="0.25">
      <c r="B86" s="11"/>
      <c r="C86" s="11"/>
      <c r="D86" s="148">
        <v>422</v>
      </c>
      <c r="E86" s="148"/>
      <c r="F86" s="149" t="s">
        <v>118</v>
      </c>
      <c r="G86" s="150"/>
      <c r="H86" s="138">
        <f>SUM(H87:H88)</f>
        <v>1939.46</v>
      </c>
      <c r="I86" s="138">
        <v>1939.46</v>
      </c>
      <c r="J86" s="150">
        <v>0</v>
      </c>
      <c r="K86" s="48" t="e">
        <f t="shared" si="4"/>
        <v>#DIV/0!</v>
      </c>
      <c r="L86" s="48">
        <f t="shared" si="5"/>
        <v>0</v>
      </c>
    </row>
    <row r="87" spans="2:12" ht="22.5" customHeight="1" x14ac:dyDescent="0.25">
      <c r="B87" s="11"/>
      <c r="C87" s="11"/>
      <c r="D87" s="11"/>
      <c r="E87" s="11">
        <v>4221</v>
      </c>
      <c r="F87" s="16" t="s">
        <v>119</v>
      </c>
      <c r="G87" s="46"/>
      <c r="H87" s="40">
        <v>1800</v>
      </c>
      <c r="I87" s="40">
        <v>1800</v>
      </c>
      <c r="J87" s="46"/>
      <c r="K87" s="48" t="e">
        <f t="shared" si="4"/>
        <v>#DIV/0!</v>
      </c>
      <c r="L87" s="48">
        <f t="shared" si="5"/>
        <v>0</v>
      </c>
    </row>
    <row r="88" spans="2:12" ht="22.5" customHeight="1" x14ac:dyDescent="0.25">
      <c r="B88" s="11"/>
      <c r="C88" s="11"/>
      <c r="D88" s="11"/>
      <c r="E88" s="11">
        <v>4222</v>
      </c>
      <c r="F88" s="16" t="s">
        <v>120</v>
      </c>
      <c r="G88" s="46"/>
      <c r="H88" s="40">
        <v>139.46</v>
      </c>
      <c r="I88" s="40">
        <v>139.46</v>
      </c>
      <c r="J88" s="46"/>
      <c r="K88" s="48" t="e">
        <f t="shared" si="4"/>
        <v>#DIV/0!</v>
      </c>
      <c r="L88" s="48">
        <f t="shared" si="5"/>
        <v>0</v>
      </c>
    </row>
    <row r="89" spans="2:12" ht="28.5" customHeight="1" x14ac:dyDescent="0.25">
      <c r="B89" s="11"/>
      <c r="C89" s="11"/>
      <c r="D89" s="148">
        <v>424</v>
      </c>
      <c r="E89" s="148"/>
      <c r="F89" s="149" t="s">
        <v>121</v>
      </c>
      <c r="G89" s="150">
        <v>726.63</v>
      </c>
      <c r="H89" s="138">
        <v>827.97</v>
      </c>
      <c r="I89" s="138">
        <v>827.97</v>
      </c>
      <c r="J89" s="150">
        <v>785.91</v>
      </c>
      <c r="K89" s="48">
        <f t="shared" si="4"/>
        <v>108.15820981792659</v>
      </c>
      <c r="L89" s="48">
        <f t="shared" si="5"/>
        <v>94.920105800934806</v>
      </c>
    </row>
    <row r="90" spans="2:12" x14ac:dyDescent="0.25">
      <c r="B90" s="11"/>
      <c r="C90" s="11" t="s">
        <v>15</v>
      </c>
      <c r="D90" s="7"/>
      <c r="E90" s="7">
        <v>4241</v>
      </c>
      <c r="F90" s="7" t="s">
        <v>122</v>
      </c>
      <c r="G90" s="46">
        <v>726.63</v>
      </c>
      <c r="H90" s="40">
        <f>SUM(637+190.97)</f>
        <v>827.97</v>
      </c>
      <c r="I90" s="40">
        <v>827.97</v>
      </c>
      <c r="J90" s="46">
        <f>SUM(774.52+11.39)</f>
        <v>785.91</v>
      </c>
      <c r="K90" s="48">
        <f t="shared" si="4"/>
        <v>108.15820981792659</v>
      </c>
      <c r="L90" s="48">
        <f t="shared" si="5"/>
        <v>94.920105800934806</v>
      </c>
    </row>
    <row r="91" spans="2:12" ht="4.5" customHeight="1" x14ac:dyDescent="0.25">
      <c r="J91" s="51"/>
      <c r="K91" s="51"/>
      <c r="L91" s="51"/>
    </row>
    <row r="93" spans="2:12" x14ac:dyDescent="0.25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2:12" x14ac:dyDescent="0.25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2:12" x14ac:dyDescent="0.25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</row>
  </sheetData>
  <mergeCells count="12">
    <mergeCell ref="B1:L1"/>
    <mergeCell ref="B2:L2"/>
    <mergeCell ref="B4:L4"/>
    <mergeCell ref="B6:L6"/>
    <mergeCell ref="B36:F36"/>
    <mergeCell ref="B9:F9"/>
    <mergeCell ref="B35:F35"/>
    <mergeCell ref="B8:F8"/>
    <mergeCell ref="B7:L7"/>
    <mergeCell ref="B5:L5"/>
    <mergeCell ref="B34:L34"/>
    <mergeCell ref="B3:L3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39"/>
  <sheetViews>
    <sheetView workbookViewId="0">
      <selection activeCell="G34" sqref="G34"/>
    </sheetView>
  </sheetViews>
  <sheetFormatPr defaultRowHeight="15" x14ac:dyDescent="0.25"/>
  <cols>
    <col min="2" max="2" width="37.7109375" customWidth="1"/>
    <col min="3" max="5" width="25.28515625" customWidth="1"/>
    <col min="6" max="6" width="26.8554687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209" t="s">
        <v>40</v>
      </c>
      <c r="C2" s="209"/>
      <c r="D2" s="209"/>
      <c r="E2" s="209"/>
      <c r="F2" s="209"/>
      <c r="G2" s="209"/>
      <c r="H2" s="209"/>
    </row>
    <row r="3" spans="2:8" ht="18" x14ac:dyDescent="0.25">
      <c r="B3" s="38"/>
      <c r="C3" s="38"/>
      <c r="D3" s="38"/>
      <c r="E3" s="38"/>
      <c r="F3" s="39"/>
      <c r="G3" s="39"/>
      <c r="H3" s="39"/>
    </row>
    <row r="4" spans="2:8" ht="33.75" customHeight="1" x14ac:dyDescent="0.25">
      <c r="B4" s="27" t="s">
        <v>6</v>
      </c>
      <c r="C4" s="27" t="s">
        <v>65</v>
      </c>
      <c r="D4" s="27" t="s">
        <v>59</v>
      </c>
      <c r="E4" s="27" t="s">
        <v>60</v>
      </c>
      <c r="F4" s="27" t="s">
        <v>61</v>
      </c>
      <c r="G4" s="27" t="s">
        <v>23</v>
      </c>
      <c r="H4" s="27" t="s">
        <v>52</v>
      </c>
    </row>
    <row r="5" spans="2:8" x14ac:dyDescent="0.25">
      <c r="B5" s="27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37</v>
      </c>
      <c r="H5" s="29" t="s">
        <v>38</v>
      </c>
    </row>
    <row r="6" spans="2:8" x14ac:dyDescent="0.25">
      <c r="B6" s="178" t="s">
        <v>49</v>
      </c>
      <c r="C6" s="181">
        <v>691788.4</v>
      </c>
      <c r="D6" s="77">
        <v>828039.84</v>
      </c>
      <c r="E6" s="77">
        <v>828039.84</v>
      </c>
      <c r="F6" s="77">
        <v>816625.11</v>
      </c>
      <c r="G6" s="41">
        <f t="shared" ref="G6:G17" si="0">SUM(F6/C6)*100</f>
        <v>118.04550495498334</v>
      </c>
      <c r="H6" s="41">
        <f t="shared" ref="H6:H17" si="1">SUM(F6/E6)*100</f>
        <v>98.621475749282794</v>
      </c>
    </row>
    <row r="7" spans="2:8" x14ac:dyDescent="0.25">
      <c r="B7" s="178" t="s">
        <v>17</v>
      </c>
      <c r="C7" s="41">
        <v>7368.63</v>
      </c>
      <c r="D7" s="40">
        <v>7587.96</v>
      </c>
      <c r="E7" s="40">
        <v>7587.96</v>
      </c>
      <c r="F7" s="40">
        <v>7587.96</v>
      </c>
      <c r="G7" s="41">
        <f t="shared" si="0"/>
        <v>102.97653702248586</v>
      </c>
      <c r="H7" s="41">
        <f t="shared" si="1"/>
        <v>100</v>
      </c>
    </row>
    <row r="8" spans="2:8" x14ac:dyDescent="0.25">
      <c r="B8" s="19" t="s">
        <v>18</v>
      </c>
      <c r="C8" s="41">
        <v>7368.63</v>
      </c>
      <c r="D8" s="40">
        <v>7587.96</v>
      </c>
      <c r="E8" s="40">
        <v>7587.96</v>
      </c>
      <c r="F8" s="40">
        <v>7587.96</v>
      </c>
      <c r="G8" s="41">
        <f t="shared" si="0"/>
        <v>102.97653702248586</v>
      </c>
      <c r="H8" s="41">
        <f t="shared" si="1"/>
        <v>100</v>
      </c>
    </row>
    <row r="9" spans="2:8" x14ac:dyDescent="0.25">
      <c r="B9" s="178" t="s">
        <v>20</v>
      </c>
      <c r="C9" s="41">
        <v>954.62</v>
      </c>
      <c r="D9" s="40">
        <v>1700</v>
      </c>
      <c r="E9" s="78">
        <v>1700</v>
      </c>
      <c r="F9" s="41">
        <v>1693.01</v>
      </c>
      <c r="G9" s="41">
        <f t="shared" si="0"/>
        <v>177.34910226058537</v>
      </c>
      <c r="H9" s="41">
        <f t="shared" si="1"/>
        <v>99.588823529411769</v>
      </c>
    </row>
    <row r="10" spans="2:8" x14ac:dyDescent="0.25">
      <c r="B10" s="179" t="s">
        <v>129</v>
      </c>
      <c r="C10" s="41">
        <v>954.62</v>
      </c>
      <c r="D10" s="40">
        <v>1700</v>
      </c>
      <c r="E10" s="78">
        <v>1700</v>
      </c>
      <c r="F10" s="41">
        <v>1693.01</v>
      </c>
      <c r="G10" s="41">
        <f t="shared" si="0"/>
        <v>177.34910226058537</v>
      </c>
      <c r="H10" s="41">
        <f t="shared" si="1"/>
        <v>99.588823529411769</v>
      </c>
    </row>
    <row r="11" spans="2:8" x14ac:dyDescent="0.25">
      <c r="B11" s="178" t="s">
        <v>130</v>
      </c>
      <c r="C11" s="41">
        <v>51691.54</v>
      </c>
      <c r="D11" s="40">
        <v>54050</v>
      </c>
      <c r="E11" s="40">
        <v>54050</v>
      </c>
      <c r="F11" s="41">
        <v>53921.68</v>
      </c>
      <c r="G11" s="41">
        <f t="shared" si="0"/>
        <v>104.31432300140411</v>
      </c>
      <c r="H11" s="41">
        <f t="shared" si="1"/>
        <v>99.762590194264561</v>
      </c>
    </row>
    <row r="12" spans="2:8" x14ac:dyDescent="0.25">
      <c r="B12" s="179" t="s">
        <v>131</v>
      </c>
      <c r="C12" s="41">
        <v>51691.54</v>
      </c>
      <c r="D12" s="40">
        <v>54050</v>
      </c>
      <c r="E12" s="40">
        <v>54050</v>
      </c>
      <c r="F12" s="41">
        <v>53921.68</v>
      </c>
      <c r="G12" s="41">
        <f t="shared" si="0"/>
        <v>104.31432300140411</v>
      </c>
      <c r="H12" s="41">
        <f t="shared" si="1"/>
        <v>99.762590194264561</v>
      </c>
    </row>
    <row r="13" spans="2:8" x14ac:dyDescent="0.25">
      <c r="B13" s="178" t="s">
        <v>132</v>
      </c>
      <c r="C13" s="41">
        <v>631660.61</v>
      </c>
      <c r="D13" s="40">
        <f>SUM(D14+D15+D16)</f>
        <v>764562.41999999993</v>
      </c>
      <c r="E13" s="40">
        <f>SUM(E14+E15+E16)</f>
        <v>764562.41999999993</v>
      </c>
      <c r="F13" s="40">
        <f>SUM(F14+F15+F16)</f>
        <v>753349.38</v>
      </c>
      <c r="G13" s="41">
        <f t="shared" si="0"/>
        <v>119.26489764812152</v>
      </c>
      <c r="H13" s="41">
        <f t="shared" si="1"/>
        <v>98.533404244482753</v>
      </c>
    </row>
    <row r="14" spans="2:8" x14ac:dyDescent="0.25">
      <c r="B14" s="180" t="s">
        <v>133</v>
      </c>
      <c r="C14" s="41">
        <v>4266.76</v>
      </c>
      <c r="D14" s="40">
        <f>SUM(699.22+2523.13)</f>
        <v>3222.3500000000004</v>
      </c>
      <c r="E14" s="40">
        <f>SUM(699.22+2523.13)</f>
        <v>3222.3500000000004</v>
      </c>
      <c r="F14" s="41">
        <f>SUM(699.22+7197.88)</f>
        <v>7897.1</v>
      </c>
      <c r="G14" s="41">
        <f t="shared" si="0"/>
        <v>185.08423253241335</v>
      </c>
      <c r="H14" s="41">
        <f t="shared" si="1"/>
        <v>245.07269539311372</v>
      </c>
    </row>
    <row r="15" spans="2:8" x14ac:dyDescent="0.25">
      <c r="B15" s="179" t="s">
        <v>134</v>
      </c>
      <c r="C15" s="41">
        <v>627393.85</v>
      </c>
      <c r="D15" s="40">
        <v>760452.32</v>
      </c>
      <c r="E15" s="40">
        <v>760452.32</v>
      </c>
      <c r="F15" s="41">
        <v>745058.1</v>
      </c>
      <c r="G15" s="41">
        <f t="shared" si="0"/>
        <v>118.75444746549555</v>
      </c>
      <c r="H15" s="41">
        <f t="shared" si="1"/>
        <v>97.975649544997125</v>
      </c>
    </row>
    <row r="16" spans="2:8" ht="25.5" x14ac:dyDescent="0.25">
      <c r="B16" s="179" t="s">
        <v>208</v>
      </c>
      <c r="C16" s="41"/>
      <c r="D16" s="40">
        <v>887.75</v>
      </c>
      <c r="E16" s="40">
        <v>887.75</v>
      </c>
      <c r="F16" s="41">
        <v>394.18</v>
      </c>
      <c r="G16" s="41"/>
      <c r="H16" s="41">
        <f t="shared" si="1"/>
        <v>44.402140242185304</v>
      </c>
    </row>
    <row r="17" spans="2:8" ht="25.5" x14ac:dyDescent="0.25">
      <c r="B17" s="178" t="s">
        <v>135</v>
      </c>
      <c r="C17" s="41">
        <v>93</v>
      </c>
      <c r="D17" s="40">
        <v>73.099999999999994</v>
      </c>
      <c r="E17" s="78">
        <v>73.099999999999994</v>
      </c>
      <c r="F17" s="41">
        <v>73.08</v>
      </c>
      <c r="G17" s="41">
        <f t="shared" si="0"/>
        <v>78.58064516129032</v>
      </c>
      <c r="H17" s="41">
        <f t="shared" si="1"/>
        <v>99.972640218878254</v>
      </c>
    </row>
    <row r="18" spans="2:8" ht="25.5" x14ac:dyDescent="0.25">
      <c r="B18" s="180" t="s">
        <v>136</v>
      </c>
      <c r="C18" s="41"/>
      <c r="D18" s="40"/>
      <c r="E18" s="78"/>
      <c r="F18" s="41"/>
      <c r="G18" s="41"/>
      <c r="H18" s="41"/>
    </row>
    <row r="19" spans="2:8" x14ac:dyDescent="0.25">
      <c r="B19" s="179"/>
      <c r="C19" s="41"/>
      <c r="D19" s="40"/>
      <c r="E19" s="78"/>
      <c r="F19" s="41"/>
      <c r="G19" s="41"/>
      <c r="H19" s="41"/>
    </row>
    <row r="20" spans="2:8" ht="15.75" customHeight="1" x14ac:dyDescent="0.25">
      <c r="B20" s="178" t="s">
        <v>50</v>
      </c>
      <c r="C20" s="41">
        <f>SUM(C21+C23+C26+C28+C32)</f>
        <v>691365.16999999993</v>
      </c>
      <c r="D20" s="41">
        <f>SUM(D21+D23+D26+D28+D32)</f>
        <v>832282.37999999989</v>
      </c>
      <c r="E20" s="41">
        <f>SUM(E21+E23+E26+E28+E32)</f>
        <v>832282.37999999989</v>
      </c>
      <c r="F20" s="41">
        <f>SUM(F21+F23+F26+F28+F32)</f>
        <v>816695.64999999991</v>
      </c>
      <c r="G20" s="41">
        <f t="shared" ref="G20:G29" si="2">SUM(F20/C20)*100</f>
        <v>118.12797135846458</v>
      </c>
      <c r="H20" s="41">
        <f t="shared" ref="H20:H29" si="3">SUM(F20/E20)*100</f>
        <v>98.127230568067532</v>
      </c>
    </row>
    <row r="21" spans="2:8" ht="15.75" customHeight="1" x14ac:dyDescent="0.25">
      <c r="B21" s="178" t="s">
        <v>17</v>
      </c>
      <c r="C21" s="99">
        <v>7388.63</v>
      </c>
      <c r="D21" s="44">
        <v>7587.96</v>
      </c>
      <c r="E21" s="44">
        <v>7587.96</v>
      </c>
      <c r="F21" s="99">
        <v>7587.96</v>
      </c>
      <c r="G21" s="41">
        <f t="shared" si="2"/>
        <v>102.69779377232315</v>
      </c>
      <c r="H21" s="41">
        <f t="shared" si="3"/>
        <v>100</v>
      </c>
    </row>
    <row r="22" spans="2:8" x14ac:dyDescent="0.25">
      <c r="B22" s="19" t="s">
        <v>18</v>
      </c>
      <c r="C22" s="41">
        <v>7388.63</v>
      </c>
      <c r="D22" s="40">
        <v>7587.96</v>
      </c>
      <c r="E22" s="40">
        <v>7587.96</v>
      </c>
      <c r="F22" s="41">
        <v>7587.96</v>
      </c>
      <c r="G22" s="41">
        <f t="shared" si="2"/>
        <v>102.69779377232315</v>
      </c>
      <c r="H22" s="41">
        <f t="shared" si="3"/>
        <v>100</v>
      </c>
    </row>
    <row r="23" spans="2:8" x14ac:dyDescent="0.25">
      <c r="B23" s="178" t="s">
        <v>20</v>
      </c>
      <c r="C23" s="99">
        <v>522.79999999999995</v>
      </c>
      <c r="D23" s="44">
        <f>SUM(D24:D25)</f>
        <v>5658.57</v>
      </c>
      <c r="E23" s="44">
        <f>SUM(E24:E25)</f>
        <v>5658.57</v>
      </c>
      <c r="F23" s="44">
        <f>SUM(F24:F25)</f>
        <v>1688.6999999999998</v>
      </c>
      <c r="G23" s="41">
        <f t="shared" si="2"/>
        <v>323.01071155317521</v>
      </c>
      <c r="H23" s="41">
        <f t="shared" si="3"/>
        <v>29.843228943001499</v>
      </c>
    </row>
    <row r="24" spans="2:8" x14ac:dyDescent="0.25">
      <c r="B24" s="179" t="s">
        <v>129</v>
      </c>
      <c r="C24" s="41">
        <v>280.68</v>
      </c>
      <c r="D24" s="40">
        <v>1700</v>
      </c>
      <c r="E24" s="40">
        <v>1700</v>
      </c>
      <c r="F24" s="41">
        <v>606.42999999999995</v>
      </c>
      <c r="G24" s="41">
        <f t="shared" si="2"/>
        <v>216.05743195097617</v>
      </c>
      <c r="H24" s="41">
        <f t="shared" si="3"/>
        <v>35.672352941176463</v>
      </c>
    </row>
    <row r="25" spans="2:8" x14ac:dyDescent="0.25">
      <c r="B25" s="179" t="s">
        <v>137</v>
      </c>
      <c r="C25" s="41">
        <v>242.12</v>
      </c>
      <c r="D25" s="40">
        <v>3958.57</v>
      </c>
      <c r="E25" s="40">
        <v>3958.57</v>
      </c>
      <c r="F25" s="41">
        <v>1082.27</v>
      </c>
      <c r="G25" s="41">
        <f t="shared" si="2"/>
        <v>446.99735668263668</v>
      </c>
      <c r="H25" s="41">
        <f t="shared" si="3"/>
        <v>27.339923255114851</v>
      </c>
    </row>
    <row r="26" spans="2:8" x14ac:dyDescent="0.25">
      <c r="B26" s="178" t="s">
        <v>130</v>
      </c>
      <c r="C26" s="99">
        <v>51691.54</v>
      </c>
      <c r="D26" s="44">
        <v>54050</v>
      </c>
      <c r="E26" s="182">
        <v>54050</v>
      </c>
      <c r="F26" s="99">
        <v>53824.18</v>
      </c>
      <c r="G26" s="41">
        <f t="shared" si="2"/>
        <v>104.12570412876072</v>
      </c>
      <c r="H26" s="41">
        <f t="shared" si="3"/>
        <v>99.582201665124884</v>
      </c>
    </row>
    <row r="27" spans="2:8" x14ac:dyDescent="0.25">
      <c r="B27" s="179" t="s">
        <v>131</v>
      </c>
      <c r="C27" s="41">
        <v>51691.54</v>
      </c>
      <c r="D27" s="40">
        <v>54050</v>
      </c>
      <c r="E27" s="78">
        <v>54050</v>
      </c>
      <c r="F27" s="41">
        <v>53824.18</v>
      </c>
      <c r="G27" s="41">
        <f t="shared" si="2"/>
        <v>104.12570412876072</v>
      </c>
      <c r="H27" s="41">
        <f t="shared" si="3"/>
        <v>99.582201665124884</v>
      </c>
    </row>
    <row r="28" spans="2:8" x14ac:dyDescent="0.25">
      <c r="B28" s="178" t="s">
        <v>132</v>
      </c>
      <c r="C28" s="99">
        <v>631762.19999999995</v>
      </c>
      <c r="D28" s="44">
        <f>SUM(D29:D31)</f>
        <v>764753.3899999999</v>
      </c>
      <c r="E28" s="44">
        <f>SUM(E29:E31)</f>
        <v>764753.3899999999</v>
      </c>
      <c r="F28" s="44">
        <f>SUM(F29:F31)</f>
        <v>753594.80999999994</v>
      </c>
      <c r="G28" s="41">
        <f t="shared" si="2"/>
        <v>119.28456783264336</v>
      </c>
      <c r="H28" s="41">
        <f t="shared" si="3"/>
        <v>98.54089172458589</v>
      </c>
    </row>
    <row r="29" spans="2:8" x14ac:dyDescent="0.25">
      <c r="B29" s="180" t="s">
        <v>133</v>
      </c>
      <c r="C29" s="41">
        <v>4266.76</v>
      </c>
      <c r="D29" s="40">
        <v>3222.35</v>
      </c>
      <c r="E29" s="78">
        <v>3222.35</v>
      </c>
      <c r="F29" s="41">
        <v>7897.1</v>
      </c>
      <c r="G29" s="41">
        <f t="shared" si="2"/>
        <v>185.08423253241335</v>
      </c>
      <c r="H29" s="41">
        <f t="shared" si="3"/>
        <v>245.07269539311375</v>
      </c>
    </row>
    <row r="30" spans="2:8" x14ac:dyDescent="0.25">
      <c r="B30" s="179" t="s">
        <v>134</v>
      </c>
      <c r="C30" s="41">
        <v>627349.16</v>
      </c>
      <c r="D30" s="78">
        <f>SUM(265.45+760083.37+103.5)</f>
        <v>760452.32</v>
      </c>
      <c r="E30" s="78">
        <f>SUM(265.45+760083.37+103.5)</f>
        <v>760452.32</v>
      </c>
      <c r="F30" s="41">
        <f>SUM(84.15+745104.99+103)</f>
        <v>745292.14</v>
      </c>
      <c r="G30" s="41"/>
      <c r="H30" s="41"/>
    </row>
    <row r="31" spans="2:8" x14ac:dyDescent="0.25">
      <c r="B31" s="179" t="s">
        <v>209</v>
      </c>
      <c r="C31" s="41">
        <v>146.28</v>
      </c>
      <c r="D31" s="40">
        <f>SUM(190.97+887.75)</f>
        <v>1078.72</v>
      </c>
      <c r="E31" s="40">
        <f>SUM(190.97+887.75)</f>
        <v>1078.72</v>
      </c>
      <c r="F31" s="41">
        <f>SUM(11.39+394.18)</f>
        <v>405.57</v>
      </c>
      <c r="G31" s="41">
        <f>SUM(F31/C31)*100</f>
        <v>277.25594749794914</v>
      </c>
      <c r="H31" s="41">
        <f>SUM(F31/E31)*100</f>
        <v>37.597337585286262</v>
      </c>
    </row>
    <row r="32" spans="2:8" ht="25.5" x14ac:dyDescent="0.25">
      <c r="B32" s="178" t="s">
        <v>135</v>
      </c>
      <c r="C32" s="99"/>
      <c r="D32" s="44">
        <f>SUM(D33:D34)</f>
        <v>232.46</v>
      </c>
      <c r="E32" s="44">
        <f>SUM(E33:E34)</f>
        <v>232.46</v>
      </c>
      <c r="F32" s="44">
        <f>SUM(F33:F34)</f>
        <v>0</v>
      </c>
      <c r="G32" s="41"/>
      <c r="H32" s="41">
        <f>SUM(F32/E32)*100</f>
        <v>0</v>
      </c>
    </row>
    <row r="33" spans="2:11" ht="25.5" x14ac:dyDescent="0.25">
      <c r="B33" s="180" t="s">
        <v>136</v>
      </c>
      <c r="C33" s="41"/>
      <c r="D33" s="40">
        <v>139.46</v>
      </c>
      <c r="E33" s="78">
        <v>139.46</v>
      </c>
      <c r="F33" s="41"/>
      <c r="G33" s="41"/>
      <c r="H33" s="41">
        <f>SUM(F33/E33)*100</f>
        <v>0</v>
      </c>
    </row>
    <row r="34" spans="2:11" x14ac:dyDescent="0.25">
      <c r="B34" s="180" t="s">
        <v>138</v>
      </c>
      <c r="C34" s="41"/>
      <c r="D34" s="40">
        <v>93</v>
      </c>
      <c r="E34" s="78">
        <v>93</v>
      </c>
      <c r="F34" s="41"/>
      <c r="G34" s="41"/>
      <c r="H34" s="41">
        <f>SUM(F34/E34)*100</f>
        <v>0</v>
      </c>
    </row>
    <row r="35" spans="2:11" x14ac:dyDescent="0.25">
      <c r="B35" s="80"/>
      <c r="C35" s="81"/>
      <c r="D35" s="81"/>
      <c r="E35" s="82"/>
      <c r="F35" s="83"/>
      <c r="G35" s="83"/>
      <c r="H35" s="83"/>
    </row>
    <row r="37" spans="2:11" ht="15" customHeight="1" x14ac:dyDescent="0.25"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2:11" x14ac:dyDescent="0.25"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2:11" x14ac:dyDescent="0.25">
      <c r="B39" s="26"/>
      <c r="C39" s="26"/>
      <c r="D39" s="26"/>
      <c r="E39" s="26"/>
      <c r="F39" s="26"/>
      <c r="G39" s="26"/>
      <c r="H39" s="26"/>
      <c r="I39" s="26"/>
      <c r="J39" s="26"/>
      <c r="K39" s="26"/>
    </row>
  </sheetData>
  <mergeCells count="1">
    <mergeCell ref="B2:H2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3"/>
  <sheetViews>
    <sheetView workbookViewId="0">
      <selection activeCell="G8" sqref="G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4"/>
      <c r="C1" s="14"/>
      <c r="D1" s="14"/>
      <c r="E1" s="14"/>
      <c r="F1" s="3"/>
      <c r="G1" s="3"/>
      <c r="H1" s="3"/>
    </row>
    <row r="2" spans="2:8" ht="15.75" customHeight="1" x14ac:dyDescent="0.25">
      <c r="B2" s="209" t="s">
        <v>41</v>
      </c>
      <c r="C2" s="209"/>
      <c r="D2" s="209"/>
      <c r="E2" s="209"/>
      <c r="F2" s="209"/>
      <c r="G2" s="209"/>
      <c r="H2" s="209"/>
    </row>
    <row r="3" spans="2:8" ht="18" x14ac:dyDescent="0.25">
      <c r="B3" s="38"/>
      <c r="C3" s="38"/>
      <c r="D3" s="38"/>
      <c r="E3" s="38"/>
      <c r="F3" s="39"/>
      <c r="G3" s="39"/>
      <c r="H3" s="39"/>
    </row>
    <row r="4" spans="2:8" ht="25.5" x14ac:dyDescent="0.25">
      <c r="B4" s="27" t="s">
        <v>6</v>
      </c>
      <c r="C4" s="27" t="s">
        <v>63</v>
      </c>
      <c r="D4" s="27" t="s">
        <v>59</v>
      </c>
      <c r="E4" s="27" t="s">
        <v>60</v>
      </c>
      <c r="F4" s="27" t="s">
        <v>64</v>
      </c>
      <c r="G4" s="27" t="s">
        <v>23</v>
      </c>
      <c r="H4" s="27" t="s">
        <v>52</v>
      </c>
    </row>
    <row r="5" spans="2:8" x14ac:dyDescent="0.25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37</v>
      </c>
      <c r="H5" s="29" t="s">
        <v>38</v>
      </c>
    </row>
    <row r="6" spans="2:8" ht="15.75" customHeight="1" x14ac:dyDescent="0.25">
      <c r="B6" s="6" t="s">
        <v>50</v>
      </c>
      <c r="C6" s="40">
        <v>691365.17</v>
      </c>
      <c r="D6" s="40">
        <v>832282.38</v>
      </c>
      <c r="E6" s="40">
        <v>832282.38</v>
      </c>
      <c r="F6" s="40">
        <v>816695.65</v>
      </c>
      <c r="G6" s="41">
        <f>SUM(F6/C6)*100</f>
        <v>118.12797135846458</v>
      </c>
      <c r="H6" s="41">
        <f>SUM(F6/E6)*100</f>
        <v>98.127230568067532</v>
      </c>
    </row>
    <row r="7" spans="2:8" ht="15.75" customHeight="1" x14ac:dyDescent="0.25">
      <c r="B7" s="6" t="s">
        <v>139</v>
      </c>
      <c r="C7" s="40">
        <v>691365.17</v>
      </c>
      <c r="D7" s="40">
        <v>832282.38</v>
      </c>
      <c r="E7" s="40">
        <v>832282.38</v>
      </c>
      <c r="F7" s="40">
        <v>816695.65</v>
      </c>
      <c r="G7" s="41">
        <f>SUM(F7/C7)*100</f>
        <v>118.12797135846458</v>
      </c>
      <c r="H7" s="41">
        <f>SUM(F7/E7)*100</f>
        <v>98.127230568067532</v>
      </c>
    </row>
    <row r="8" spans="2:8" x14ac:dyDescent="0.25">
      <c r="B8" s="84" t="s">
        <v>140</v>
      </c>
      <c r="C8" s="40"/>
      <c r="D8" s="40">
        <v>832016.93</v>
      </c>
      <c r="E8" s="40">
        <v>832016.93</v>
      </c>
      <c r="F8" s="40">
        <v>816611.5</v>
      </c>
      <c r="G8" s="41"/>
      <c r="H8" s="41">
        <f>SUM(F8/E8)*100</f>
        <v>98.148423494219045</v>
      </c>
    </row>
    <row r="9" spans="2:8" ht="26.25" x14ac:dyDescent="0.25">
      <c r="B9" s="85" t="s">
        <v>141</v>
      </c>
      <c r="C9" s="40"/>
      <c r="D9" s="40">
        <v>265.45</v>
      </c>
      <c r="E9" s="40">
        <v>265.45</v>
      </c>
      <c r="F9" s="41">
        <v>84.15</v>
      </c>
      <c r="G9" s="41"/>
      <c r="H9" s="41"/>
    </row>
    <row r="10" spans="2:8" x14ac:dyDescent="0.25">
      <c r="B10" s="75"/>
    </row>
    <row r="11" spans="2:8" x14ac:dyDescent="0.25">
      <c r="B11" s="26"/>
      <c r="C11" s="26"/>
      <c r="D11" s="26"/>
      <c r="E11" s="26"/>
      <c r="F11" s="26"/>
      <c r="G11" s="26"/>
      <c r="H11" s="26"/>
    </row>
    <row r="12" spans="2:8" x14ac:dyDescent="0.25">
      <c r="B12" s="26"/>
      <c r="C12" s="26"/>
      <c r="D12" s="26"/>
      <c r="E12" s="26"/>
      <c r="F12" s="26"/>
      <c r="G12" s="26"/>
      <c r="H12" s="26"/>
    </row>
    <row r="13" spans="2:8" x14ac:dyDescent="0.25">
      <c r="B13" s="26"/>
      <c r="C13" s="26"/>
      <c r="D13" s="26"/>
      <c r="E13" s="26"/>
      <c r="F13" s="26"/>
      <c r="G13" s="26"/>
      <c r="H13" s="2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2"/>
  <sheetViews>
    <sheetView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14"/>
      <c r="E1" s="2"/>
      <c r="F1" s="2"/>
      <c r="G1" s="2"/>
      <c r="H1" s="2"/>
      <c r="I1" s="2"/>
      <c r="J1" s="2"/>
      <c r="K1" s="2"/>
      <c r="L1" s="14"/>
    </row>
    <row r="2" spans="2:12" ht="15.75" customHeight="1" x14ac:dyDescent="0.25">
      <c r="B2" s="209" t="s">
        <v>10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2:12" ht="18" x14ac:dyDescent="0.25">
      <c r="B3" s="38"/>
      <c r="C3" s="38"/>
      <c r="D3" s="38"/>
      <c r="E3" s="38"/>
      <c r="F3" s="38"/>
      <c r="G3" s="38"/>
      <c r="H3" s="38"/>
      <c r="I3" s="38"/>
      <c r="J3" s="39"/>
      <c r="K3" s="39"/>
      <c r="L3" s="39"/>
    </row>
    <row r="4" spans="2:12" ht="18" customHeight="1" x14ac:dyDescent="0.25">
      <c r="B4" s="209" t="s">
        <v>54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</row>
    <row r="5" spans="2:12" ht="15.75" customHeight="1" x14ac:dyDescent="0.25">
      <c r="B5" s="209" t="s">
        <v>42</v>
      </c>
      <c r="C5" s="209"/>
      <c r="D5" s="209"/>
      <c r="E5" s="209"/>
      <c r="F5" s="209"/>
      <c r="G5" s="209"/>
      <c r="H5" s="209"/>
      <c r="I5" s="209"/>
      <c r="J5" s="209"/>
      <c r="K5" s="209"/>
      <c r="L5" s="209"/>
    </row>
    <row r="6" spans="2:12" ht="18" x14ac:dyDescent="0.25">
      <c r="B6" s="38"/>
      <c r="C6" s="38"/>
      <c r="D6" s="38"/>
      <c r="E6" s="38"/>
      <c r="F6" s="38"/>
      <c r="G6" s="38"/>
      <c r="H6" s="38"/>
      <c r="I6" s="38"/>
      <c r="J6" s="39"/>
      <c r="K6" s="39"/>
      <c r="L6" s="39"/>
    </row>
    <row r="7" spans="2:12" ht="25.5" customHeight="1" x14ac:dyDescent="0.25">
      <c r="B7" s="213" t="s">
        <v>6</v>
      </c>
      <c r="C7" s="214"/>
      <c r="D7" s="214"/>
      <c r="E7" s="214"/>
      <c r="F7" s="215"/>
      <c r="G7" s="30" t="s">
        <v>65</v>
      </c>
      <c r="H7" s="30" t="s">
        <v>59</v>
      </c>
      <c r="I7" s="30" t="s">
        <v>60</v>
      </c>
      <c r="J7" s="30" t="s">
        <v>61</v>
      </c>
      <c r="K7" s="30" t="s">
        <v>23</v>
      </c>
      <c r="L7" s="30" t="s">
        <v>52</v>
      </c>
    </row>
    <row r="8" spans="2:12" x14ac:dyDescent="0.25">
      <c r="B8" s="213">
        <v>1</v>
      </c>
      <c r="C8" s="214"/>
      <c r="D8" s="214"/>
      <c r="E8" s="214"/>
      <c r="F8" s="215"/>
      <c r="G8" s="31">
        <v>2</v>
      </c>
      <c r="H8" s="31">
        <v>3</v>
      </c>
      <c r="I8" s="31">
        <v>4</v>
      </c>
      <c r="J8" s="31">
        <v>5</v>
      </c>
      <c r="K8" s="31" t="s">
        <v>37</v>
      </c>
      <c r="L8" s="31" t="s">
        <v>38</v>
      </c>
    </row>
    <row r="9" spans="2:12" ht="25.5" x14ac:dyDescent="0.25">
      <c r="B9" s="6">
        <v>8</v>
      </c>
      <c r="C9" s="6"/>
      <c r="D9" s="6"/>
      <c r="E9" s="6"/>
      <c r="F9" s="6" t="s">
        <v>7</v>
      </c>
      <c r="G9" s="4"/>
      <c r="H9" s="4"/>
      <c r="I9" s="4"/>
      <c r="J9" s="25"/>
      <c r="K9" s="25"/>
      <c r="L9" s="25"/>
    </row>
    <row r="10" spans="2:12" x14ac:dyDescent="0.25">
      <c r="B10" s="6"/>
      <c r="C10" s="11">
        <v>84</v>
      </c>
      <c r="D10" s="11"/>
      <c r="E10" s="11"/>
      <c r="F10" s="11" t="s">
        <v>12</v>
      </c>
      <c r="G10" s="4"/>
      <c r="H10" s="4"/>
      <c r="I10" s="4"/>
      <c r="J10" s="25"/>
      <c r="K10" s="25"/>
      <c r="L10" s="25"/>
    </row>
    <row r="11" spans="2:12" ht="51" x14ac:dyDescent="0.25">
      <c r="B11" s="7"/>
      <c r="C11" s="7"/>
      <c r="D11" s="7">
        <v>841</v>
      </c>
      <c r="E11" s="7"/>
      <c r="F11" s="21" t="s">
        <v>43</v>
      </c>
      <c r="G11" s="4"/>
      <c r="H11" s="4"/>
      <c r="I11" s="4"/>
      <c r="J11" s="25"/>
      <c r="K11" s="25"/>
      <c r="L11" s="25"/>
    </row>
    <row r="12" spans="2:12" ht="25.5" x14ac:dyDescent="0.25">
      <c r="B12" s="7"/>
      <c r="C12" s="7"/>
      <c r="D12" s="7"/>
      <c r="E12" s="7">
        <v>8413</v>
      </c>
      <c r="F12" s="21" t="s">
        <v>44</v>
      </c>
      <c r="G12" s="4"/>
      <c r="H12" s="4"/>
      <c r="I12" s="4"/>
      <c r="J12" s="25"/>
      <c r="K12" s="25"/>
      <c r="L12" s="25"/>
    </row>
    <row r="13" spans="2:12" x14ac:dyDescent="0.25">
      <c r="B13" s="7"/>
      <c r="C13" s="7"/>
      <c r="D13" s="7"/>
      <c r="E13" s="8" t="s">
        <v>19</v>
      </c>
      <c r="F13" s="13"/>
      <c r="G13" s="4"/>
      <c r="H13" s="4"/>
      <c r="I13" s="4"/>
      <c r="J13" s="25"/>
      <c r="K13" s="25"/>
      <c r="L13" s="25"/>
    </row>
    <row r="14" spans="2:12" ht="25.5" x14ac:dyDescent="0.25">
      <c r="B14" s="9">
        <v>5</v>
      </c>
      <c r="C14" s="10"/>
      <c r="D14" s="10"/>
      <c r="E14" s="10"/>
      <c r="F14" s="15" t="s">
        <v>8</v>
      </c>
      <c r="G14" s="4"/>
      <c r="H14" s="4"/>
      <c r="I14" s="4"/>
      <c r="J14" s="25"/>
      <c r="K14" s="25"/>
      <c r="L14" s="25"/>
    </row>
    <row r="15" spans="2:12" ht="25.5" x14ac:dyDescent="0.25">
      <c r="B15" s="11"/>
      <c r="C15" s="11">
        <v>54</v>
      </c>
      <c r="D15" s="11"/>
      <c r="E15" s="11"/>
      <c r="F15" s="16" t="s">
        <v>13</v>
      </c>
      <c r="G15" s="4"/>
      <c r="H15" s="4"/>
      <c r="I15" s="5"/>
      <c r="J15" s="25"/>
      <c r="K15" s="25"/>
      <c r="L15" s="25"/>
    </row>
    <row r="16" spans="2:12" ht="63.75" x14ac:dyDescent="0.25">
      <c r="B16" s="11"/>
      <c r="C16" s="11"/>
      <c r="D16" s="11">
        <v>541</v>
      </c>
      <c r="E16" s="21"/>
      <c r="F16" s="21" t="s">
        <v>45</v>
      </c>
      <c r="G16" s="4"/>
      <c r="H16" s="4"/>
      <c r="I16" s="5"/>
      <c r="J16" s="25"/>
      <c r="K16" s="25"/>
      <c r="L16" s="25"/>
    </row>
    <row r="17" spans="2:12" ht="38.25" x14ac:dyDescent="0.25">
      <c r="B17" s="11"/>
      <c r="C17" s="11"/>
      <c r="D17" s="11"/>
      <c r="E17" s="21">
        <v>5413</v>
      </c>
      <c r="F17" s="21" t="s">
        <v>46</v>
      </c>
      <c r="G17" s="4"/>
      <c r="H17" s="4"/>
      <c r="I17" s="5"/>
      <c r="J17" s="25"/>
      <c r="K17" s="25"/>
      <c r="L17" s="25"/>
    </row>
    <row r="18" spans="2:12" x14ac:dyDescent="0.25">
      <c r="B18" s="12"/>
      <c r="C18" s="10"/>
      <c r="D18" s="10"/>
      <c r="E18" s="10"/>
      <c r="F18" s="15" t="s">
        <v>19</v>
      </c>
      <c r="G18" s="4"/>
      <c r="H18" s="4"/>
      <c r="I18" s="4"/>
      <c r="J18" s="25"/>
      <c r="K18" s="25"/>
      <c r="L18" s="25"/>
    </row>
    <row r="20" spans="2:12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2:12" x14ac:dyDescent="0.2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2:12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0"/>
  <sheetViews>
    <sheetView workbookViewId="0">
      <selection activeCell="F27" sqref="F2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4"/>
      <c r="C1" s="14"/>
      <c r="D1" s="14"/>
      <c r="E1" s="14"/>
      <c r="F1" s="3"/>
      <c r="G1" s="3"/>
      <c r="H1" s="3"/>
    </row>
    <row r="2" spans="2:8" ht="15.75" customHeight="1" x14ac:dyDescent="0.25">
      <c r="B2" s="209" t="s">
        <v>47</v>
      </c>
      <c r="C2" s="209"/>
      <c r="D2" s="209"/>
      <c r="E2" s="209"/>
      <c r="F2" s="209"/>
      <c r="G2" s="209"/>
      <c r="H2" s="209"/>
    </row>
    <row r="3" spans="2:8" ht="18" x14ac:dyDescent="0.25">
      <c r="B3" s="38"/>
      <c r="C3" s="38"/>
      <c r="D3" s="38"/>
      <c r="E3" s="38"/>
      <c r="F3" s="39"/>
      <c r="G3" s="39"/>
      <c r="H3" s="39"/>
    </row>
    <row r="4" spans="2:8" ht="25.5" x14ac:dyDescent="0.25">
      <c r="B4" s="27" t="s">
        <v>6</v>
      </c>
      <c r="C4" s="27" t="s">
        <v>65</v>
      </c>
      <c r="D4" s="27" t="s">
        <v>59</v>
      </c>
      <c r="E4" s="27" t="s">
        <v>60</v>
      </c>
      <c r="F4" s="27" t="s">
        <v>61</v>
      </c>
      <c r="G4" s="27" t="s">
        <v>23</v>
      </c>
      <c r="H4" s="27" t="s">
        <v>52</v>
      </c>
    </row>
    <row r="5" spans="2:8" x14ac:dyDescent="0.25">
      <c r="B5" s="27">
        <v>1</v>
      </c>
      <c r="C5" s="27">
        <v>2</v>
      </c>
      <c r="D5" s="27">
        <v>3</v>
      </c>
      <c r="E5" s="27">
        <v>4</v>
      </c>
      <c r="F5" s="27">
        <v>5</v>
      </c>
      <c r="G5" s="27" t="s">
        <v>37</v>
      </c>
      <c r="H5" s="27" t="s">
        <v>38</v>
      </c>
    </row>
    <row r="6" spans="2:8" x14ac:dyDescent="0.25">
      <c r="B6" s="6" t="s">
        <v>50</v>
      </c>
      <c r="C6" s="40">
        <f>SUM(C7+C9+C12+C14)</f>
        <v>691365.16999999993</v>
      </c>
      <c r="D6" s="40">
        <f>SUM(D7+D9+D12+D14+D18)</f>
        <v>832282.38</v>
      </c>
      <c r="E6" s="40">
        <f>SUM(E7+E9+E12+E14+E18)</f>
        <v>832282.38</v>
      </c>
      <c r="F6" s="40">
        <f>SUM(F7+F9+F12+F14)</f>
        <v>816695.65</v>
      </c>
      <c r="G6" s="41">
        <f t="shared" ref="G6:G16" si="0">SUM(F6/C6)*100</f>
        <v>118.12797135846461</v>
      </c>
      <c r="H6" s="41">
        <f t="shared" ref="H6:H16" si="1">SUM(F6/E6)*100</f>
        <v>98.127230568067532</v>
      </c>
    </row>
    <row r="7" spans="2:8" x14ac:dyDescent="0.25">
      <c r="B7" s="6" t="s">
        <v>17</v>
      </c>
      <c r="C7" s="40">
        <v>7388.63</v>
      </c>
      <c r="D7" s="40">
        <v>7587.96</v>
      </c>
      <c r="E7" s="40">
        <v>7587.96</v>
      </c>
      <c r="F7" s="41">
        <v>7587.96</v>
      </c>
      <c r="G7" s="41">
        <f t="shared" si="0"/>
        <v>102.69779377232315</v>
      </c>
      <c r="H7" s="41">
        <f t="shared" si="1"/>
        <v>100</v>
      </c>
    </row>
    <row r="8" spans="2:8" x14ac:dyDescent="0.25">
      <c r="B8" s="19" t="s">
        <v>18</v>
      </c>
      <c r="C8" s="40">
        <v>7388.63</v>
      </c>
      <c r="D8" s="40">
        <v>7587.96</v>
      </c>
      <c r="E8" s="40">
        <v>7587.96</v>
      </c>
      <c r="F8" s="41">
        <v>7587.96</v>
      </c>
      <c r="G8" s="41">
        <f t="shared" si="0"/>
        <v>102.69779377232315</v>
      </c>
      <c r="H8" s="41">
        <f t="shared" si="1"/>
        <v>100</v>
      </c>
    </row>
    <row r="9" spans="2:8" x14ac:dyDescent="0.25">
      <c r="B9" s="6" t="s">
        <v>20</v>
      </c>
      <c r="C9" s="40">
        <v>522.79999999999995</v>
      </c>
      <c r="D9" s="40">
        <v>5658.57</v>
      </c>
      <c r="E9" s="40">
        <v>5658.57</v>
      </c>
      <c r="F9" s="41">
        <v>1688.7</v>
      </c>
      <c r="G9" s="41">
        <f t="shared" si="0"/>
        <v>323.01071155317527</v>
      </c>
      <c r="H9" s="41">
        <f t="shared" si="1"/>
        <v>29.843228943001503</v>
      </c>
    </row>
    <row r="10" spans="2:8" x14ac:dyDescent="0.25">
      <c r="B10" s="20" t="s">
        <v>129</v>
      </c>
      <c r="C10" s="40">
        <v>280.68</v>
      </c>
      <c r="D10" s="40">
        <v>1700</v>
      </c>
      <c r="E10" s="40">
        <v>1700</v>
      </c>
      <c r="F10" s="41">
        <v>606.42999999999995</v>
      </c>
      <c r="G10" s="41">
        <f t="shared" si="0"/>
        <v>216.05743195097617</v>
      </c>
      <c r="H10" s="41">
        <f t="shared" si="1"/>
        <v>35.672352941176463</v>
      </c>
    </row>
    <row r="11" spans="2:8" x14ac:dyDescent="0.25">
      <c r="B11" s="20" t="s">
        <v>137</v>
      </c>
      <c r="C11" s="40">
        <v>242.12</v>
      </c>
      <c r="D11" s="40">
        <v>3958.57</v>
      </c>
      <c r="E11" s="40">
        <v>3958.57</v>
      </c>
      <c r="F11" s="41">
        <v>1082.27</v>
      </c>
      <c r="G11" s="41">
        <f t="shared" si="0"/>
        <v>446.99735668263668</v>
      </c>
      <c r="H11" s="41">
        <f t="shared" si="1"/>
        <v>27.339923255114851</v>
      </c>
    </row>
    <row r="12" spans="2:8" x14ac:dyDescent="0.25">
      <c r="B12" s="6" t="s">
        <v>130</v>
      </c>
      <c r="C12" s="40">
        <v>51691.54</v>
      </c>
      <c r="D12" s="40">
        <v>54050</v>
      </c>
      <c r="E12" s="78">
        <v>54050</v>
      </c>
      <c r="F12" s="41">
        <v>53824.18</v>
      </c>
      <c r="G12" s="41">
        <f t="shared" si="0"/>
        <v>104.12570412876072</v>
      </c>
      <c r="H12" s="41">
        <f t="shared" si="1"/>
        <v>99.582201665124884</v>
      </c>
    </row>
    <row r="13" spans="2:8" x14ac:dyDescent="0.25">
      <c r="B13" s="20" t="s">
        <v>131</v>
      </c>
      <c r="C13" s="40">
        <v>51691.54</v>
      </c>
      <c r="D13" s="40">
        <v>54050</v>
      </c>
      <c r="E13" s="78">
        <v>54050</v>
      </c>
      <c r="F13" s="41">
        <v>53824.18</v>
      </c>
      <c r="G13" s="41">
        <f t="shared" si="0"/>
        <v>104.12570412876072</v>
      </c>
      <c r="H13" s="41">
        <f t="shared" si="1"/>
        <v>99.582201665124884</v>
      </c>
    </row>
    <row r="14" spans="2:8" x14ac:dyDescent="0.25">
      <c r="B14" s="6" t="s">
        <v>132</v>
      </c>
      <c r="C14" s="40">
        <v>631762.19999999995</v>
      </c>
      <c r="D14" s="40">
        <v>764753.39</v>
      </c>
      <c r="E14" s="78">
        <v>764753.39</v>
      </c>
      <c r="F14" s="41">
        <v>753594.81</v>
      </c>
      <c r="G14" s="41">
        <f t="shared" si="0"/>
        <v>119.28456783264339</v>
      </c>
      <c r="H14" s="41">
        <f t="shared" si="1"/>
        <v>98.54089172458589</v>
      </c>
    </row>
    <row r="15" spans="2:8" x14ac:dyDescent="0.25">
      <c r="B15" s="79" t="s">
        <v>212</v>
      </c>
      <c r="C15" s="40">
        <v>4266.76</v>
      </c>
      <c r="D15" s="40">
        <v>3222.35</v>
      </c>
      <c r="E15" s="78">
        <v>3222.35</v>
      </c>
      <c r="F15" s="41">
        <v>7897.1</v>
      </c>
      <c r="G15" s="41">
        <f t="shared" si="0"/>
        <v>185.08423253241335</v>
      </c>
      <c r="H15" s="41">
        <f t="shared" si="1"/>
        <v>245.07269539311375</v>
      </c>
    </row>
    <row r="16" spans="2:8" x14ac:dyDescent="0.25">
      <c r="B16" s="20" t="s">
        <v>134</v>
      </c>
      <c r="C16" s="40">
        <v>627349.16</v>
      </c>
      <c r="D16" s="40">
        <v>760452.32</v>
      </c>
      <c r="E16" s="78">
        <v>760452.32</v>
      </c>
      <c r="F16" s="41">
        <v>745292.14</v>
      </c>
      <c r="G16" s="41">
        <f t="shared" si="0"/>
        <v>118.80021326560795</v>
      </c>
      <c r="H16" s="41">
        <f t="shared" si="1"/>
        <v>98.006425965009896</v>
      </c>
    </row>
    <row r="17" spans="2:8" ht="15.75" customHeight="1" x14ac:dyDescent="0.25">
      <c r="B17" s="20" t="s">
        <v>209</v>
      </c>
      <c r="C17" s="40">
        <v>146.28</v>
      </c>
      <c r="D17" s="40">
        <v>1078.72</v>
      </c>
      <c r="E17" s="78">
        <v>1078.72</v>
      </c>
      <c r="F17" s="41">
        <v>405.57</v>
      </c>
      <c r="G17" s="41">
        <f>SUM(F17/C17)*100</f>
        <v>277.25594749794914</v>
      </c>
      <c r="H17" s="41">
        <f>SUM(F17/E17)*100</f>
        <v>37.597337585286262</v>
      </c>
    </row>
    <row r="18" spans="2:8" ht="25.5" x14ac:dyDescent="0.25">
      <c r="B18" s="6" t="s">
        <v>210</v>
      </c>
      <c r="C18" s="40"/>
      <c r="D18" s="40">
        <v>232.46</v>
      </c>
      <c r="E18" s="78">
        <v>232.46</v>
      </c>
      <c r="F18" s="41"/>
      <c r="G18" s="41" t="e">
        <f t="shared" ref="G18:G19" si="2">SUM(F18/C18)*100</f>
        <v>#DIV/0!</v>
      </c>
      <c r="H18" s="41">
        <f t="shared" ref="H18:H19" si="3">SUM(F18/E18)*100</f>
        <v>0</v>
      </c>
    </row>
    <row r="19" spans="2:8" ht="25.5" x14ac:dyDescent="0.25">
      <c r="B19" s="79" t="s">
        <v>213</v>
      </c>
      <c r="C19" s="40"/>
      <c r="D19" s="40">
        <v>139.46</v>
      </c>
      <c r="E19" s="78">
        <v>139.46</v>
      </c>
      <c r="F19" s="41"/>
      <c r="G19" s="41" t="e">
        <f t="shared" si="2"/>
        <v>#DIV/0!</v>
      </c>
      <c r="H19" s="41">
        <f t="shared" si="3"/>
        <v>0</v>
      </c>
    </row>
    <row r="20" spans="2:8" ht="25.5" x14ac:dyDescent="0.25">
      <c r="B20" s="20" t="s">
        <v>211</v>
      </c>
      <c r="C20" s="40"/>
      <c r="D20" s="40">
        <v>93</v>
      </c>
      <c r="E20" s="78">
        <v>93</v>
      </c>
      <c r="F20" s="41"/>
      <c r="G20" s="41" t="e">
        <f>SUM(F20/C20)*100</f>
        <v>#DIV/0!</v>
      </c>
      <c r="H20" s="41">
        <f>SUM(F20/E20)*100</f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I11"/>
  <sheetViews>
    <sheetView workbookViewId="0">
      <selection activeCell="H13" sqref="H13"/>
    </sheetView>
  </sheetViews>
  <sheetFormatPr defaultRowHeight="15" x14ac:dyDescent="0.25"/>
  <cols>
    <col min="4" max="4" width="7" customWidth="1"/>
    <col min="5" max="5" width="25.140625" customWidth="1"/>
    <col min="6" max="7" width="25.28515625" customWidth="1"/>
    <col min="8" max="8" width="24.28515625" customWidth="1"/>
    <col min="9" max="9" width="15.7109375" customWidth="1"/>
  </cols>
  <sheetData>
    <row r="2" spans="1:9" ht="15.75" x14ac:dyDescent="0.25">
      <c r="B2" s="196" t="s">
        <v>9</v>
      </c>
      <c r="C2" s="196"/>
      <c r="D2" s="196"/>
      <c r="E2" s="196"/>
      <c r="F2" s="196"/>
      <c r="G2" s="196"/>
      <c r="H2" s="196"/>
      <c r="I2" s="196"/>
    </row>
    <row r="3" spans="1:9" ht="15.75" x14ac:dyDescent="0.25">
      <c r="A3" s="110"/>
      <c r="B3" s="224" t="s">
        <v>195</v>
      </c>
      <c r="C3" s="224"/>
      <c r="D3" s="224"/>
      <c r="E3" s="224"/>
      <c r="F3" s="224"/>
      <c r="G3" s="224"/>
      <c r="H3" s="224"/>
      <c r="I3" s="224"/>
    </row>
    <row r="4" spans="1:9" ht="15.75" x14ac:dyDescent="0.25">
      <c r="A4" s="110"/>
      <c r="B4" s="111"/>
      <c r="C4" s="111"/>
      <c r="D4" s="111"/>
      <c r="E4" s="111"/>
      <c r="F4" s="111"/>
      <c r="G4" s="111"/>
      <c r="H4" s="111"/>
      <c r="I4" s="111"/>
    </row>
    <row r="5" spans="1:9" ht="25.5" x14ac:dyDescent="0.25">
      <c r="B5" s="225" t="s">
        <v>6</v>
      </c>
      <c r="C5" s="226"/>
      <c r="D5" s="226"/>
      <c r="E5" s="227"/>
      <c r="F5" s="112" t="s">
        <v>59</v>
      </c>
      <c r="G5" s="112" t="s">
        <v>60</v>
      </c>
      <c r="H5" s="112" t="s">
        <v>64</v>
      </c>
      <c r="I5" s="112" t="s">
        <v>52</v>
      </c>
    </row>
    <row r="6" spans="1:9" x14ac:dyDescent="0.25">
      <c r="A6" s="32"/>
      <c r="B6" s="228">
        <v>1</v>
      </c>
      <c r="C6" s="229"/>
      <c r="D6" s="229"/>
      <c r="E6" s="230"/>
      <c r="F6" s="113">
        <v>2</v>
      </c>
      <c r="G6" s="113">
        <v>3</v>
      </c>
      <c r="H6" s="113">
        <v>4</v>
      </c>
      <c r="I6" s="113" t="s">
        <v>48</v>
      </c>
    </row>
    <row r="7" spans="1:9" ht="25.5" x14ac:dyDescent="0.25">
      <c r="B7" s="217">
        <v>1008011</v>
      </c>
      <c r="C7" s="217"/>
      <c r="D7" s="217"/>
      <c r="E7" s="114" t="s">
        <v>196</v>
      </c>
      <c r="F7" s="116">
        <v>832282.38</v>
      </c>
      <c r="G7" s="116">
        <v>832282.38</v>
      </c>
      <c r="H7" s="116">
        <v>816695.65</v>
      </c>
      <c r="I7" s="116">
        <f>SUM(H7/G7)*100</f>
        <v>98.127230568067532</v>
      </c>
    </row>
    <row r="8" spans="1:9" ht="25.5" x14ac:dyDescent="0.25">
      <c r="B8" s="217" t="s">
        <v>197</v>
      </c>
      <c r="C8" s="217"/>
      <c r="D8" s="217"/>
      <c r="E8" s="114" t="s">
        <v>198</v>
      </c>
      <c r="F8" s="116">
        <v>832282.38</v>
      </c>
      <c r="G8" s="116">
        <v>832282.38</v>
      </c>
      <c r="H8" s="116">
        <v>816695.65</v>
      </c>
      <c r="I8" s="116">
        <f>SUM(H8/G8)*100</f>
        <v>98.127230568067532</v>
      </c>
    </row>
    <row r="9" spans="1:9" x14ac:dyDescent="0.25">
      <c r="B9" s="217">
        <v>3</v>
      </c>
      <c r="C9" s="217"/>
      <c r="D9" s="217"/>
      <c r="E9" s="114" t="s">
        <v>3</v>
      </c>
      <c r="F9" s="117">
        <v>829514.95</v>
      </c>
      <c r="G9" s="117">
        <v>829514.95</v>
      </c>
      <c r="H9" s="117">
        <v>815909.74</v>
      </c>
      <c r="I9" s="116">
        <f>SUM(H9/G9)*100</f>
        <v>98.359859578178799</v>
      </c>
    </row>
    <row r="10" spans="1:9" ht="30" x14ac:dyDescent="0.25">
      <c r="B10" s="218">
        <v>4</v>
      </c>
      <c r="C10" s="219"/>
      <c r="D10" s="220"/>
      <c r="E10" s="115" t="s">
        <v>199</v>
      </c>
      <c r="F10" s="117">
        <v>2767.43</v>
      </c>
      <c r="G10" s="117">
        <v>2767.43</v>
      </c>
      <c r="H10" s="117">
        <v>785.91</v>
      </c>
      <c r="I10" s="116">
        <f>SUM(H10/G10)*100</f>
        <v>28.398550279501201</v>
      </c>
    </row>
    <row r="11" spans="1:9" x14ac:dyDescent="0.25">
      <c r="B11" s="221"/>
      <c r="C11" s="222"/>
      <c r="D11" s="223"/>
      <c r="E11" s="25"/>
      <c r="F11" s="25"/>
      <c r="G11" s="25"/>
      <c r="H11" s="25"/>
      <c r="I11" s="25"/>
    </row>
  </sheetData>
  <mergeCells count="9">
    <mergeCell ref="B9:D9"/>
    <mergeCell ref="B10:D10"/>
    <mergeCell ref="B11:D11"/>
    <mergeCell ref="B2:I2"/>
    <mergeCell ref="B3:I3"/>
    <mergeCell ref="B5:E5"/>
    <mergeCell ref="B6:E6"/>
    <mergeCell ref="B7:D7"/>
    <mergeCell ref="B8:D8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09"/>
  <sheetViews>
    <sheetView workbookViewId="0">
      <selection activeCell="B40" sqref="B40"/>
    </sheetView>
  </sheetViews>
  <sheetFormatPr defaultRowHeight="15" x14ac:dyDescent="0.25"/>
  <cols>
    <col min="2" max="2" width="80" customWidth="1"/>
    <col min="3" max="3" width="0.140625" customWidth="1"/>
    <col min="4" max="4" width="25.42578125" hidden="1" customWidth="1"/>
    <col min="5" max="5" width="39" hidden="1" customWidth="1"/>
    <col min="6" max="8" width="24.28515625" customWidth="1"/>
    <col min="9" max="9" width="17.85546875" customWidth="1"/>
    <col min="10" max="10" width="24.28515625" customWidth="1"/>
  </cols>
  <sheetData>
    <row r="1" spans="1:10" ht="18" x14ac:dyDescent="0.25">
      <c r="B1" s="2"/>
      <c r="C1" s="2"/>
      <c r="D1" s="2"/>
      <c r="E1" s="2"/>
      <c r="F1" s="2"/>
      <c r="G1" s="2"/>
      <c r="H1" s="2"/>
      <c r="I1" s="3"/>
      <c r="J1" s="3"/>
    </row>
    <row r="2" spans="1:10" ht="18" customHeight="1" x14ac:dyDescent="0.25">
      <c r="B2" s="209" t="s">
        <v>9</v>
      </c>
      <c r="C2" s="209"/>
      <c r="D2" s="209"/>
      <c r="E2" s="209"/>
      <c r="F2" s="209"/>
      <c r="G2" s="209"/>
      <c r="H2" s="209"/>
      <c r="I2" s="209"/>
      <c r="J2" s="22"/>
    </row>
    <row r="3" spans="1:10" ht="18" x14ac:dyDescent="0.25">
      <c r="B3" s="38"/>
      <c r="C3" s="38"/>
      <c r="D3" s="38"/>
      <c r="E3" s="38"/>
      <c r="F3" s="38"/>
      <c r="G3" s="38"/>
      <c r="H3" s="38"/>
      <c r="I3" s="39"/>
      <c r="J3" s="3"/>
    </row>
    <row r="4" spans="1:10" ht="15.75" x14ac:dyDescent="0.25">
      <c r="B4" s="231" t="s">
        <v>56</v>
      </c>
      <c r="C4" s="231"/>
      <c r="D4" s="231"/>
      <c r="E4" s="231"/>
      <c r="F4" s="231"/>
      <c r="G4" s="231"/>
      <c r="H4" s="231"/>
      <c r="I4" s="231"/>
    </row>
    <row r="5" spans="1:10" ht="18" x14ac:dyDescent="0.25">
      <c r="B5" s="38"/>
      <c r="C5" s="38"/>
      <c r="D5" s="38"/>
      <c r="E5" s="38"/>
      <c r="F5" s="38"/>
      <c r="G5" s="38"/>
      <c r="H5" s="38"/>
      <c r="I5" s="39"/>
    </row>
    <row r="6" spans="1:10" ht="25.5" x14ac:dyDescent="0.25">
      <c r="B6" s="213" t="s">
        <v>6</v>
      </c>
      <c r="C6" s="214"/>
      <c r="D6" s="214"/>
      <c r="E6" s="215"/>
      <c r="F6" s="27" t="s">
        <v>59</v>
      </c>
      <c r="G6" s="27" t="s">
        <v>60</v>
      </c>
      <c r="H6" s="27" t="s">
        <v>64</v>
      </c>
      <c r="I6" s="27" t="s">
        <v>52</v>
      </c>
    </row>
    <row r="7" spans="1:10" s="32" customFormat="1" ht="11.25" x14ac:dyDescent="0.2">
      <c r="B7" s="210">
        <v>1</v>
      </c>
      <c r="C7" s="211"/>
      <c r="D7" s="211"/>
      <c r="E7" s="212"/>
      <c r="F7" s="29">
        <v>2</v>
      </c>
      <c r="G7" s="29">
        <v>3</v>
      </c>
      <c r="H7" s="29">
        <v>4</v>
      </c>
      <c r="I7" s="29" t="s">
        <v>48</v>
      </c>
    </row>
    <row r="8" spans="1:10" ht="30" customHeight="1" x14ac:dyDescent="0.25">
      <c r="A8" s="61"/>
      <c r="B8" s="54" t="s">
        <v>123</v>
      </c>
      <c r="C8" s="59"/>
      <c r="D8" s="60"/>
      <c r="E8" s="57"/>
      <c r="F8" s="49">
        <f>SUM(F9:F13)</f>
        <v>832282.38</v>
      </c>
      <c r="G8" s="49">
        <f>SUM(G9:G13)</f>
        <v>832282.38</v>
      </c>
      <c r="H8" s="49">
        <f>SUM(H9:H12)</f>
        <v>816695.65</v>
      </c>
      <c r="I8" s="4">
        <f t="shared" ref="I8:I21" si="0">SUM(H8/G8)*100</f>
        <v>98.127230568067532</v>
      </c>
    </row>
    <row r="9" spans="1:10" ht="18.75" customHeight="1" x14ac:dyDescent="0.25">
      <c r="A9" s="61"/>
      <c r="B9" s="54" t="s">
        <v>142</v>
      </c>
      <c r="C9" s="59"/>
      <c r="D9" s="60"/>
      <c r="E9" s="57"/>
      <c r="F9" s="173">
        <v>7587.96</v>
      </c>
      <c r="G9" s="49">
        <v>7587.96</v>
      </c>
      <c r="H9" s="49">
        <v>7587.96</v>
      </c>
      <c r="I9" s="4">
        <f t="shared" si="0"/>
        <v>100</v>
      </c>
    </row>
    <row r="10" spans="1:10" ht="18.75" customHeight="1" x14ac:dyDescent="0.25">
      <c r="A10" s="61"/>
      <c r="B10" s="54" t="s">
        <v>143</v>
      </c>
      <c r="C10" s="59"/>
      <c r="D10" s="60"/>
      <c r="E10" s="57"/>
      <c r="F10" s="173">
        <v>5658.57</v>
      </c>
      <c r="G10" s="49">
        <v>5658.57</v>
      </c>
      <c r="H10" s="49">
        <v>1688.7</v>
      </c>
      <c r="I10" s="4">
        <f t="shared" si="0"/>
        <v>29.843228943001503</v>
      </c>
    </row>
    <row r="11" spans="1:10" ht="18.75" customHeight="1" x14ac:dyDescent="0.25">
      <c r="A11" s="61"/>
      <c r="B11" s="54" t="s">
        <v>144</v>
      </c>
      <c r="C11" s="59"/>
      <c r="D11" s="60"/>
      <c r="E11" s="57"/>
      <c r="F11" s="173">
        <v>54050</v>
      </c>
      <c r="G11" s="49">
        <v>54050</v>
      </c>
      <c r="H11" s="49">
        <v>53824.18</v>
      </c>
      <c r="I11" s="4">
        <f t="shared" si="0"/>
        <v>99.582201665124884</v>
      </c>
    </row>
    <row r="12" spans="1:10" ht="18.75" customHeight="1" x14ac:dyDescent="0.25">
      <c r="A12" s="61"/>
      <c r="B12" s="54" t="s">
        <v>145</v>
      </c>
      <c r="C12" s="59"/>
      <c r="D12" s="60"/>
      <c r="E12" s="57"/>
      <c r="F12" s="173">
        <v>764753.39</v>
      </c>
      <c r="G12" s="49">
        <v>764753.39</v>
      </c>
      <c r="H12" s="49">
        <v>753594.81</v>
      </c>
      <c r="I12" s="4">
        <f t="shared" si="0"/>
        <v>98.54089172458589</v>
      </c>
      <c r="J12" s="168"/>
    </row>
    <row r="13" spans="1:10" ht="18.75" customHeight="1" x14ac:dyDescent="0.25">
      <c r="A13" s="61"/>
      <c r="B13" s="54" t="s">
        <v>146</v>
      </c>
      <c r="C13" s="59"/>
      <c r="D13" s="60"/>
      <c r="E13" s="57"/>
      <c r="F13" s="173">
        <v>232.46</v>
      </c>
      <c r="G13" s="49">
        <v>232.46</v>
      </c>
      <c r="H13" s="49"/>
      <c r="I13" s="4">
        <f t="shared" si="0"/>
        <v>0</v>
      </c>
    </row>
    <row r="14" spans="1:10" ht="15" customHeight="1" x14ac:dyDescent="0.25">
      <c r="A14" s="61"/>
      <c r="B14" s="55" t="s">
        <v>128</v>
      </c>
      <c r="C14" s="59"/>
      <c r="D14" s="60"/>
      <c r="E14" s="58"/>
      <c r="F14" s="151"/>
      <c r="G14" s="138"/>
      <c r="H14" s="138"/>
      <c r="I14" s="169" t="e">
        <f t="shared" si="0"/>
        <v>#DIV/0!</v>
      </c>
    </row>
    <row r="15" spans="1:10" ht="15" customHeight="1" x14ac:dyDescent="0.25">
      <c r="A15" s="61"/>
      <c r="B15" s="56" t="s">
        <v>194</v>
      </c>
      <c r="C15" s="59"/>
      <c r="D15" s="60"/>
      <c r="E15" s="58"/>
      <c r="F15" s="87"/>
      <c r="G15" s="40"/>
      <c r="H15" s="40"/>
      <c r="I15" s="4" t="e">
        <f t="shared" si="0"/>
        <v>#DIV/0!</v>
      </c>
    </row>
    <row r="16" spans="1:10" ht="15" customHeight="1" x14ac:dyDescent="0.25">
      <c r="A16" s="61"/>
      <c r="B16" s="54" t="s">
        <v>152</v>
      </c>
      <c r="C16" s="59"/>
      <c r="D16" s="60"/>
      <c r="E16" s="57"/>
      <c r="F16" s="87"/>
      <c r="G16" s="40"/>
      <c r="H16" s="40"/>
      <c r="I16" s="4" t="e">
        <f t="shared" si="0"/>
        <v>#DIV/0!</v>
      </c>
    </row>
    <row r="17" spans="1:9" ht="15" customHeight="1" x14ac:dyDescent="0.25">
      <c r="A17" s="61"/>
      <c r="B17" s="55" t="s">
        <v>147</v>
      </c>
      <c r="C17" s="59"/>
      <c r="D17" s="60"/>
      <c r="E17" s="57"/>
      <c r="F17" s="151">
        <f>SUM(F18:F19)</f>
        <v>265.45000000000005</v>
      </c>
      <c r="G17" s="151">
        <f>SUM(G18:G19)</f>
        <v>265.45000000000005</v>
      </c>
      <c r="H17" s="151">
        <f>SUM(H18:H19)</f>
        <v>84.15</v>
      </c>
      <c r="I17" s="169">
        <f t="shared" si="0"/>
        <v>31.700885289131659</v>
      </c>
    </row>
    <row r="18" spans="1:9" ht="15" customHeight="1" x14ac:dyDescent="0.25">
      <c r="A18" s="61"/>
      <c r="B18" s="92" t="s">
        <v>148</v>
      </c>
      <c r="C18" s="59"/>
      <c r="D18" s="60"/>
      <c r="E18" s="57"/>
      <c r="F18" s="87">
        <v>139.36000000000001</v>
      </c>
      <c r="G18" s="40">
        <v>139.36000000000001</v>
      </c>
      <c r="H18" s="40">
        <v>45.2</v>
      </c>
      <c r="I18" s="4">
        <f t="shared" si="0"/>
        <v>32.433983926521236</v>
      </c>
    </row>
    <row r="19" spans="1:9" ht="15" customHeight="1" x14ac:dyDescent="0.25">
      <c r="A19" s="61"/>
      <c r="B19" s="92" t="s">
        <v>149</v>
      </c>
      <c r="C19" s="59"/>
      <c r="D19" s="60"/>
      <c r="E19" s="57"/>
      <c r="F19" s="87">
        <v>126.09</v>
      </c>
      <c r="G19" s="40">
        <v>126.09</v>
      </c>
      <c r="H19" s="40">
        <v>38.950000000000003</v>
      </c>
      <c r="I19" s="4">
        <f t="shared" si="0"/>
        <v>30.890633674359584</v>
      </c>
    </row>
    <row r="20" spans="1:9" ht="15" customHeight="1" x14ac:dyDescent="0.25">
      <c r="A20" s="61"/>
      <c r="B20" s="86" t="s">
        <v>124</v>
      </c>
      <c r="C20" s="59"/>
      <c r="D20" s="60"/>
      <c r="E20" s="57"/>
      <c r="F20" s="87"/>
      <c r="G20" s="40"/>
      <c r="H20" s="40"/>
      <c r="I20" s="4" t="e">
        <f t="shared" si="0"/>
        <v>#DIV/0!</v>
      </c>
    </row>
    <row r="21" spans="1:9" ht="15" customHeight="1" x14ac:dyDescent="0.25">
      <c r="A21" s="61"/>
      <c r="B21" s="54" t="s">
        <v>150</v>
      </c>
      <c r="C21" s="59"/>
      <c r="D21" s="60"/>
      <c r="E21" s="57"/>
      <c r="F21" s="87"/>
      <c r="G21" s="40"/>
      <c r="H21" s="40"/>
      <c r="I21" s="4" t="e">
        <f t="shared" si="0"/>
        <v>#DIV/0!</v>
      </c>
    </row>
    <row r="22" spans="1:9" ht="15" customHeight="1" x14ac:dyDescent="0.25">
      <c r="A22" s="61"/>
      <c r="B22" s="54" t="s">
        <v>151</v>
      </c>
      <c r="C22" s="59"/>
      <c r="D22" s="60"/>
      <c r="E22" s="57"/>
      <c r="F22" s="87"/>
      <c r="G22" s="40"/>
      <c r="H22" s="40"/>
      <c r="I22" s="4"/>
    </row>
    <row r="23" spans="1:9" ht="15" customHeight="1" x14ac:dyDescent="0.25">
      <c r="A23" s="61"/>
      <c r="B23" s="55" t="s">
        <v>147</v>
      </c>
      <c r="C23" s="152"/>
      <c r="D23" s="153"/>
      <c r="E23" s="154"/>
      <c r="F23" s="155"/>
      <c r="G23" s="138"/>
      <c r="H23" s="138"/>
      <c r="I23" s="169"/>
    </row>
    <row r="24" spans="1:9" ht="15" customHeight="1" x14ac:dyDescent="0.25">
      <c r="A24" s="61"/>
      <c r="B24" s="92" t="s">
        <v>190</v>
      </c>
      <c r="C24" s="59"/>
      <c r="D24" s="60"/>
      <c r="E24" s="58"/>
      <c r="F24" s="87"/>
      <c r="G24" s="40"/>
      <c r="H24" s="40"/>
      <c r="I24" s="4"/>
    </row>
    <row r="25" spans="1:9" ht="15" customHeight="1" x14ac:dyDescent="0.25">
      <c r="A25" s="61"/>
      <c r="B25" s="92" t="s">
        <v>153</v>
      </c>
      <c r="C25" s="59"/>
      <c r="D25" s="60"/>
      <c r="E25" s="58"/>
      <c r="F25" s="87"/>
      <c r="G25" s="40"/>
      <c r="H25" s="40"/>
      <c r="I25" s="4"/>
    </row>
    <row r="26" spans="1:9" ht="15" customHeight="1" x14ac:dyDescent="0.25">
      <c r="A26" s="61"/>
      <c r="B26" s="92" t="s">
        <v>154</v>
      </c>
      <c r="C26" s="59"/>
      <c r="D26" s="60"/>
      <c r="E26" s="57"/>
      <c r="F26" s="87"/>
      <c r="G26" s="40"/>
      <c r="H26" s="40"/>
      <c r="I26" s="4"/>
    </row>
    <row r="27" spans="1:9" ht="15" customHeight="1" x14ac:dyDescent="0.25">
      <c r="A27" s="61"/>
      <c r="B27" s="92" t="s">
        <v>155</v>
      </c>
      <c r="C27" s="59"/>
      <c r="D27" s="60"/>
      <c r="E27" s="57"/>
      <c r="F27" s="87"/>
      <c r="G27" s="40"/>
      <c r="H27" s="40"/>
      <c r="I27" s="4"/>
    </row>
    <row r="28" spans="1:9" ht="21.75" customHeight="1" x14ac:dyDescent="0.25">
      <c r="A28" s="61"/>
      <c r="B28" s="54" t="s">
        <v>156</v>
      </c>
      <c r="C28" s="59"/>
      <c r="D28" s="60"/>
      <c r="E28" s="62"/>
      <c r="F28" s="100">
        <f>SUM(F29+F38+F40)</f>
        <v>5658.57</v>
      </c>
      <c r="G28" s="100">
        <f>SUM(G29+G38+G40)</f>
        <v>5658.57</v>
      </c>
      <c r="H28" s="100">
        <f>SUM(H29+H38+H40)</f>
        <v>1688.7000000000003</v>
      </c>
      <c r="I28" s="101">
        <f t="shared" ref="I28:I39" si="1">SUM(H28/G28)*100</f>
        <v>29.843228943001503</v>
      </c>
    </row>
    <row r="29" spans="1:9" ht="15" customHeight="1" x14ac:dyDescent="0.25">
      <c r="A29" s="61"/>
      <c r="B29" s="55" t="s">
        <v>147</v>
      </c>
      <c r="C29" s="152"/>
      <c r="D29" s="153"/>
      <c r="E29" s="156"/>
      <c r="F29" s="155">
        <f>SUM(F30:F37)</f>
        <v>3845.2999999999997</v>
      </c>
      <c r="G29" s="155">
        <f>SUM(G30:G37)</f>
        <v>3845.2999999999997</v>
      </c>
      <c r="H29" s="155">
        <f>SUM(H30:H37)</f>
        <v>1684.9100000000003</v>
      </c>
      <c r="I29" s="170">
        <f t="shared" si="1"/>
        <v>43.817387460016135</v>
      </c>
    </row>
    <row r="30" spans="1:9" ht="15" customHeight="1" x14ac:dyDescent="0.25">
      <c r="A30" s="61"/>
      <c r="B30" s="92" t="s">
        <v>148</v>
      </c>
      <c r="C30" s="59"/>
      <c r="D30" s="60"/>
      <c r="E30" s="62"/>
      <c r="F30" s="87"/>
      <c r="G30" s="87"/>
      <c r="H30" s="40"/>
      <c r="I30" s="4" t="e">
        <f t="shared" si="1"/>
        <v>#DIV/0!</v>
      </c>
    </row>
    <row r="31" spans="1:9" ht="15" customHeight="1" x14ac:dyDescent="0.25">
      <c r="A31" s="61"/>
      <c r="B31" s="92" t="s">
        <v>157</v>
      </c>
      <c r="F31" s="88">
        <v>92.9</v>
      </c>
      <c r="G31" s="88">
        <v>92.9</v>
      </c>
      <c r="H31" s="89">
        <v>133.38</v>
      </c>
      <c r="I31" s="4">
        <f t="shared" si="1"/>
        <v>143.57373519913887</v>
      </c>
    </row>
    <row r="32" spans="1:9" ht="15" customHeight="1" x14ac:dyDescent="0.25">
      <c r="A32" s="61"/>
      <c r="B32" s="92" t="s">
        <v>190</v>
      </c>
      <c r="F32" s="88">
        <f>SUM(921.26+620)</f>
        <v>1541.26</v>
      </c>
      <c r="G32" s="88">
        <f>SUM(921.26+620)</f>
        <v>1541.26</v>
      </c>
      <c r="H32" s="41">
        <f>SUM(365.89+587.01)</f>
        <v>952.9</v>
      </c>
      <c r="I32" s="4">
        <f t="shared" si="1"/>
        <v>61.826038436084765</v>
      </c>
    </row>
    <row r="33" spans="1:9" ht="15" customHeight="1" x14ac:dyDescent="0.25">
      <c r="A33" s="61"/>
      <c r="B33" s="92" t="s">
        <v>158</v>
      </c>
      <c r="C33" s="68"/>
      <c r="D33" s="69"/>
      <c r="E33" s="69"/>
      <c r="F33" s="93">
        <v>638.57000000000005</v>
      </c>
      <c r="G33" s="93">
        <v>638.57000000000005</v>
      </c>
      <c r="H33" s="94">
        <v>342.35</v>
      </c>
      <c r="I33" s="4">
        <f t="shared" si="1"/>
        <v>53.611976760574407</v>
      </c>
    </row>
    <row r="34" spans="1:9" ht="15" customHeight="1" x14ac:dyDescent="0.25">
      <c r="A34" s="61"/>
      <c r="B34" s="92" t="s">
        <v>153</v>
      </c>
      <c r="C34" s="34"/>
      <c r="D34" s="34"/>
      <c r="E34" s="34"/>
      <c r="F34" s="95">
        <v>173.68</v>
      </c>
      <c r="G34" s="95">
        <v>173.68</v>
      </c>
      <c r="H34" s="94">
        <v>6.17</v>
      </c>
      <c r="I34" s="4">
        <f t="shared" si="1"/>
        <v>3.5525103638876092</v>
      </c>
    </row>
    <row r="35" spans="1:9" ht="15" customHeight="1" x14ac:dyDescent="0.25">
      <c r="A35" s="61"/>
      <c r="B35" s="92" t="s">
        <v>159</v>
      </c>
      <c r="C35" s="34"/>
      <c r="D35" s="34"/>
      <c r="E35" s="34"/>
      <c r="F35" s="95">
        <v>500</v>
      </c>
      <c r="G35" s="95">
        <v>500</v>
      </c>
      <c r="H35" s="157">
        <v>139.93</v>
      </c>
      <c r="I35" s="4">
        <f t="shared" si="1"/>
        <v>27.986000000000001</v>
      </c>
    </row>
    <row r="36" spans="1:9" ht="15" customHeight="1" x14ac:dyDescent="0.25">
      <c r="A36" s="61"/>
      <c r="B36" s="92" t="s">
        <v>149</v>
      </c>
      <c r="C36" s="34"/>
      <c r="D36" s="34"/>
      <c r="E36" s="34"/>
      <c r="F36" s="93">
        <f>SUM(498.89+400)</f>
        <v>898.89</v>
      </c>
      <c r="G36" s="93">
        <f>SUM(498.89+400)</f>
        <v>898.89</v>
      </c>
      <c r="H36" s="97">
        <f>SUM(97.2+12.98)</f>
        <v>110.18</v>
      </c>
      <c r="I36" s="4">
        <f t="shared" si="1"/>
        <v>12.257339607738434</v>
      </c>
    </row>
    <row r="37" spans="1:9" ht="15" customHeight="1" x14ac:dyDescent="0.25">
      <c r="A37" s="61"/>
      <c r="B37" s="92" t="s">
        <v>155</v>
      </c>
      <c r="F37" s="91"/>
      <c r="G37" s="91"/>
      <c r="H37" s="90"/>
      <c r="I37" s="4" t="e">
        <f t="shared" si="1"/>
        <v>#DIV/0!</v>
      </c>
    </row>
    <row r="38" spans="1:9" x14ac:dyDescent="0.25">
      <c r="A38" s="61"/>
      <c r="B38" s="54" t="s">
        <v>160</v>
      </c>
      <c r="F38" s="96">
        <f>SUM(F39)</f>
        <v>13.27</v>
      </c>
      <c r="G38" s="96">
        <f>SUM(G39)</f>
        <v>13.27</v>
      </c>
      <c r="H38" s="96">
        <f>SUM(H39)</f>
        <v>3.79</v>
      </c>
      <c r="I38" s="101">
        <f t="shared" si="1"/>
        <v>28.560663149962323</v>
      </c>
    </row>
    <row r="39" spans="1:9" ht="15" customHeight="1" x14ac:dyDescent="0.25">
      <c r="A39" s="61"/>
      <c r="B39" s="92" t="s">
        <v>161</v>
      </c>
      <c r="F39" s="98">
        <v>13.27</v>
      </c>
      <c r="G39" s="98">
        <v>13.27</v>
      </c>
      <c r="H39" s="41">
        <v>3.79</v>
      </c>
      <c r="I39" s="4">
        <f t="shared" si="1"/>
        <v>28.560663149962323</v>
      </c>
    </row>
    <row r="40" spans="1:9" x14ac:dyDescent="0.25">
      <c r="A40" s="61"/>
      <c r="B40" s="54" t="s">
        <v>162</v>
      </c>
      <c r="F40" s="99">
        <f>SUM(F41)</f>
        <v>1800</v>
      </c>
      <c r="G40" s="99">
        <f>SUM(G41)</f>
        <v>1800</v>
      </c>
      <c r="H40" s="99">
        <f>SUM(H41)</f>
        <v>0</v>
      </c>
      <c r="I40" s="67"/>
    </row>
    <row r="41" spans="1:9" x14ac:dyDescent="0.25">
      <c r="A41" s="61"/>
      <c r="B41" s="92" t="s">
        <v>163</v>
      </c>
      <c r="F41" s="41">
        <v>1800</v>
      </c>
      <c r="G41" s="41">
        <v>1800</v>
      </c>
      <c r="H41" s="41"/>
      <c r="I41" s="67"/>
    </row>
    <row r="42" spans="1:9" x14ac:dyDescent="0.25">
      <c r="A42" s="61"/>
      <c r="B42" s="54" t="s">
        <v>164</v>
      </c>
      <c r="F42" s="99">
        <f>SUM(F43+F64)</f>
        <v>54049.999999999993</v>
      </c>
      <c r="G42" s="99">
        <f>SUM(G43+G64)</f>
        <v>54049.999999999993</v>
      </c>
      <c r="H42" s="99">
        <f>SUM(H43+H64)</f>
        <v>53824.18</v>
      </c>
      <c r="I42" s="4">
        <f t="shared" ref="I42:I68" si="2">SUM(H42/G42)*100</f>
        <v>99.582201665124899</v>
      </c>
    </row>
    <row r="43" spans="1:9" x14ac:dyDescent="0.25">
      <c r="A43" s="61"/>
      <c r="B43" s="55" t="s">
        <v>147</v>
      </c>
      <c r="C43" s="158"/>
      <c r="D43" s="158"/>
      <c r="E43" s="158"/>
      <c r="F43" s="159">
        <f>SUM(F44:F63)</f>
        <v>53917.999999999993</v>
      </c>
      <c r="G43" s="159">
        <f>SUM(G44:G63)</f>
        <v>53917.999999999993</v>
      </c>
      <c r="H43" s="159">
        <f>SUM(H44:H63)</f>
        <v>53716.65</v>
      </c>
      <c r="I43" s="169">
        <f t="shared" si="2"/>
        <v>99.626562557958394</v>
      </c>
    </row>
    <row r="44" spans="1:9" x14ac:dyDescent="0.25">
      <c r="A44" s="61"/>
      <c r="B44" s="92" t="s">
        <v>148</v>
      </c>
      <c r="F44" s="41">
        <v>440</v>
      </c>
      <c r="G44" s="41">
        <v>440</v>
      </c>
      <c r="H44" s="41">
        <v>608.1</v>
      </c>
      <c r="I44" s="4">
        <f t="shared" si="2"/>
        <v>138.20454545454547</v>
      </c>
    </row>
    <row r="45" spans="1:9" x14ac:dyDescent="0.25">
      <c r="A45" s="61"/>
      <c r="B45" s="92" t="s">
        <v>165</v>
      </c>
      <c r="F45" s="41">
        <v>13200</v>
      </c>
      <c r="G45" s="41">
        <v>13200</v>
      </c>
      <c r="H45" s="41">
        <v>12548.74</v>
      </c>
      <c r="I45" s="4">
        <f t="shared" si="2"/>
        <v>95.066212121212118</v>
      </c>
    </row>
    <row r="46" spans="1:9" x14ac:dyDescent="0.25">
      <c r="A46" s="61"/>
      <c r="B46" s="92" t="s">
        <v>157</v>
      </c>
      <c r="F46" s="41">
        <v>531</v>
      </c>
      <c r="G46" s="41">
        <v>531</v>
      </c>
      <c r="H46" s="41">
        <v>1415</v>
      </c>
      <c r="I46" s="4">
        <f t="shared" si="2"/>
        <v>266.47834274952919</v>
      </c>
    </row>
    <row r="47" spans="1:9" x14ac:dyDescent="0.25">
      <c r="A47" s="61"/>
      <c r="B47" s="92" t="s">
        <v>190</v>
      </c>
      <c r="F47" s="41">
        <v>2850</v>
      </c>
      <c r="G47" s="41">
        <v>2850</v>
      </c>
      <c r="H47" s="41">
        <v>3056.72</v>
      </c>
      <c r="I47" s="4">
        <f t="shared" si="2"/>
        <v>107.25333333333333</v>
      </c>
    </row>
    <row r="48" spans="1:9" x14ac:dyDescent="0.25">
      <c r="A48" s="61"/>
      <c r="B48" s="92" t="s">
        <v>158</v>
      </c>
      <c r="F48" s="41">
        <v>2489</v>
      </c>
      <c r="G48" s="41">
        <v>2489</v>
      </c>
      <c r="H48" s="41">
        <v>2520.66</v>
      </c>
      <c r="I48" s="4">
        <f t="shared" si="2"/>
        <v>101.27199678585777</v>
      </c>
    </row>
    <row r="49" spans="1:9" x14ac:dyDescent="0.25">
      <c r="A49" s="61"/>
      <c r="B49" s="92" t="s">
        <v>153</v>
      </c>
      <c r="F49" s="25">
        <v>13193.25</v>
      </c>
      <c r="G49" s="25">
        <v>13193.25</v>
      </c>
      <c r="H49" s="25">
        <v>11789.55</v>
      </c>
      <c r="I49" s="4">
        <f t="shared" si="2"/>
        <v>89.360468421351825</v>
      </c>
    </row>
    <row r="50" spans="1:9" x14ac:dyDescent="0.25">
      <c r="A50" s="61"/>
      <c r="B50" s="92" t="s">
        <v>166</v>
      </c>
      <c r="F50" s="25">
        <v>747.7</v>
      </c>
      <c r="G50" s="25">
        <v>747.7</v>
      </c>
      <c r="H50" s="25">
        <v>771.12</v>
      </c>
      <c r="I50" s="4">
        <f t="shared" si="2"/>
        <v>103.13227230172528</v>
      </c>
    </row>
    <row r="51" spans="1:9" x14ac:dyDescent="0.25">
      <c r="A51" s="61"/>
      <c r="B51" s="92" t="s">
        <v>159</v>
      </c>
      <c r="F51" s="25">
        <v>300</v>
      </c>
      <c r="G51" s="25">
        <v>300</v>
      </c>
      <c r="H51" s="25">
        <v>298.97000000000003</v>
      </c>
      <c r="I51" s="4">
        <f t="shared" si="2"/>
        <v>99.656666666666666</v>
      </c>
    </row>
    <row r="52" spans="1:9" x14ac:dyDescent="0.25">
      <c r="A52" s="61"/>
      <c r="B52" s="92" t="s">
        <v>167</v>
      </c>
      <c r="F52" s="25">
        <v>265</v>
      </c>
      <c r="G52" s="25">
        <v>265</v>
      </c>
      <c r="H52" s="25">
        <v>232.55</v>
      </c>
      <c r="I52" s="4">
        <f t="shared" si="2"/>
        <v>87.754716981132077</v>
      </c>
    </row>
    <row r="53" spans="1:9" x14ac:dyDescent="0.25">
      <c r="A53" s="61"/>
      <c r="B53" s="92" t="s">
        <v>149</v>
      </c>
      <c r="F53" s="71">
        <v>2398</v>
      </c>
      <c r="G53" s="71">
        <v>2398</v>
      </c>
      <c r="H53" s="71">
        <v>2531.71</v>
      </c>
      <c r="I53" s="4">
        <f t="shared" si="2"/>
        <v>105.57589658048374</v>
      </c>
    </row>
    <row r="54" spans="1:9" x14ac:dyDescent="0.25">
      <c r="A54" s="61"/>
      <c r="B54" s="92" t="s">
        <v>168</v>
      </c>
      <c r="F54" s="25">
        <v>900</v>
      </c>
      <c r="G54" s="25">
        <v>900</v>
      </c>
      <c r="H54" s="25">
        <v>583.36</v>
      </c>
      <c r="I54" s="4">
        <f t="shared" si="2"/>
        <v>64.817777777777778</v>
      </c>
    </row>
    <row r="55" spans="1:9" x14ac:dyDescent="0.25">
      <c r="A55" s="61"/>
      <c r="B55" s="92" t="s">
        <v>207</v>
      </c>
      <c r="F55" s="25">
        <v>400</v>
      </c>
      <c r="G55" s="25">
        <v>400</v>
      </c>
      <c r="H55" s="25">
        <v>910</v>
      </c>
      <c r="I55" s="4">
        <f t="shared" si="2"/>
        <v>227.5</v>
      </c>
    </row>
    <row r="56" spans="1:9" x14ac:dyDescent="0.25">
      <c r="A56" s="61"/>
      <c r="B56" s="92" t="s">
        <v>169</v>
      </c>
      <c r="F56" s="25">
        <v>9476.31</v>
      </c>
      <c r="G56" s="25">
        <v>9476.31</v>
      </c>
      <c r="H56" s="25">
        <v>9596.81</v>
      </c>
      <c r="I56" s="4">
        <f t="shared" si="2"/>
        <v>101.27159200152802</v>
      </c>
    </row>
    <row r="57" spans="1:9" x14ac:dyDescent="0.25">
      <c r="A57" s="61"/>
      <c r="B57" s="92" t="s">
        <v>170</v>
      </c>
      <c r="F57" s="25">
        <v>1280</v>
      </c>
      <c r="G57" s="25">
        <v>1280</v>
      </c>
      <c r="H57" s="25">
        <v>1499.85</v>
      </c>
      <c r="I57" s="4">
        <f t="shared" si="2"/>
        <v>117.17578124999999</v>
      </c>
    </row>
    <row r="58" spans="1:9" x14ac:dyDescent="0.25">
      <c r="A58" s="61"/>
      <c r="B58" s="92" t="s">
        <v>154</v>
      </c>
      <c r="F58" s="25">
        <v>2700</v>
      </c>
      <c r="G58" s="25">
        <v>2700</v>
      </c>
      <c r="H58" s="25">
        <v>2634.7</v>
      </c>
      <c r="I58" s="4">
        <f t="shared" si="2"/>
        <v>97.581481481481475</v>
      </c>
    </row>
    <row r="59" spans="1:9" x14ac:dyDescent="0.25">
      <c r="A59" s="61"/>
      <c r="B59" s="92" t="s">
        <v>155</v>
      </c>
      <c r="F59" s="25">
        <v>1513</v>
      </c>
      <c r="G59" s="25">
        <v>1513</v>
      </c>
      <c r="H59" s="25">
        <v>1448.66</v>
      </c>
      <c r="I59" s="4">
        <f t="shared" si="2"/>
        <v>95.747521480502314</v>
      </c>
    </row>
    <row r="60" spans="1:9" x14ac:dyDescent="0.25">
      <c r="A60" s="61"/>
      <c r="B60" s="92" t="s">
        <v>171</v>
      </c>
      <c r="F60" s="25">
        <v>404.74</v>
      </c>
      <c r="G60" s="25">
        <v>404.74</v>
      </c>
      <c r="H60" s="25"/>
      <c r="I60" s="4">
        <f t="shared" si="2"/>
        <v>0</v>
      </c>
    </row>
    <row r="61" spans="1:9" x14ac:dyDescent="0.25">
      <c r="A61" s="61"/>
      <c r="B61" s="92" t="s">
        <v>172</v>
      </c>
      <c r="C61" s="73"/>
      <c r="D61" s="64"/>
      <c r="E61" s="64"/>
      <c r="F61" s="70">
        <v>265</v>
      </c>
      <c r="G61" s="70">
        <v>265</v>
      </c>
      <c r="H61" s="70">
        <v>647.35</v>
      </c>
      <c r="I61" s="4">
        <f t="shared" si="2"/>
        <v>244.28301886792454</v>
      </c>
    </row>
    <row r="62" spans="1:9" x14ac:dyDescent="0.25">
      <c r="A62" s="61"/>
      <c r="B62" s="92" t="s">
        <v>173</v>
      </c>
      <c r="F62" s="25">
        <v>175</v>
      </c>
      <c r="G62" s="25">
        <v>175</v>
      </c>
      <c r="H62" s="25">
        <v>180</v>
      </c>
      <c r="I62" s="4">
        <f t="shared" si="2"/>
        <v>102.85714285714285</v>
      </c>
    </row>
    <row r="63" spans="1:9" x14ac:dyDescent="0.25">
      <c r="A63" s="61"/>
      <c r="B63" s="92" t="s">
        <v>174</v>
      </c>
      <c r="F63" s="25">
        <v>390</v>
      </c>
      <c r="G63" s="25">
        <v>390</v>
      </c>
      <c r="H63" s="25">
        <v>442.8</v>
      </c>
      <c r="I63" s="4">
        <f t="shared" si="2"/>
        <v>113.53846153846155</v>
      </c>
    </row>
    <row r="64" spans="1:9" x14ac:dyDescent="0.25">
      <c r="A64" s="61"/>
      <c r="B64" s="55" t="s">
        <v>160</v>
      </c>
      <c r="C64" s="158"/>
      <c r="D64" s="158"/>
      <c r="E64" s="158"/>
      <c r="F64" s="160">
        <v>132</v>
      </c>
      <c r="G64" s="160">
        <v>132</v>
      </c>
      <c r="H64" s="160">
        <v>107.53</v>
      </c>
      <c r="I64" s="169">
        <f t="shared" si="2"/>
        <v>81.462121212121204</v>
      </c>
    </row>
    <row r="65" spans="1:9" x14ac:dyDescent="0.25">
      <c r="A65" s="61"/>
      <c r="B65" s="92" t="s">
        <v>175</v>
      </c>
      <c r="F65" s="25">
        <v>132</v>
      </c>
      <c r="G65" s="25">
        <v>132</v>
      </c>
      <c r="H65" s="25">
        <v>107.53</v>
      </c>
      <c r="I65" s="4">
        <f t="shared" si="2"/>
        <v>81.462121212121204</v>
      </c>
    </row>
    <row r="66" spans="1:9" x14ac:dyDescent="0.25">
      <c r="A66" s="61"/>
      <c r="B66" s="54" t="s">
        <v>176</v>
      </c>
      <c r="C66" s="73"/>
      <c r="D66" s="64"/>
      <c r="E66" s="64"/>
      <c r="F66" s="105">
        <f>SUM(F67+F72+F76+F78+F80)</f>
        <v>760274.34</v>
      </c>
      <c r="G66" s="105">
        <f>SUM(G67+G72+G76+G78+G80)</f>
        <v>760274.34</v>
      </c>
      <c r="H66" s="105">
        <f>SUM(H67+H72+H76+H78+H80)</f>
        <v>745116.38</v>
      </c>
      <c r="I66" s="4">
        <f t="shared" si="2"/>
        <v>98.006251269771923</v>
      </c>
    </row>
    <row r="67" spans="1:9" x14ac:dyDescent="0.25">
      <c r="A67" s="61"/>
      <c r="B67" s="55" t="s">
        <v>177</v>
      </c>
      <c r="C67" s="158"/>
      <c r="D67" s="158"/>
      <c r="E67" s="158"/>
      <c r="F67" s="161">
        <f>SUM(F68:F71)</f>
        <v>758839.67</v>
      </c>
      <c r="G67" s="161">
        <f>SUM(G68:G71)</f>
        <v>758839.67</v>
      </c>
      <c r="H67" s="161">
        <f>SUM(H68:H71)</f>
        <v>743723.77</v>
      </c>
      <c r="I67" s="169">
        <f t="shared" si="2"/>
        <v>98.008024540941562</v>
      </c>
    </row>
    <row r="68" spans="1:9" x14ac:dyDescent="0.25">
      <c r="A68" s="61"/>
      <c r="B68" s="92" t="s">
        <v>178</v>
      </c>
      <c r="F68" s="25">
        <v>623000</v>
      </c>
      <c r="G68" s="25">
        <v>623000</v>
      </c>
      <c r="H68" s="25">
        <v>614393.25</v>
      </c>
      <c r="I68" s="4">
        <f t="shared" si="2"/>
        <v>98.618499197431788</v>
      </c>
    </row>
    <row r="69" spans="1:9" x14ac:dyDescent="0.25">
      <c r="A69" s="61"/>
      <c r="B69" s="92" t="s">
        <v>179</v>
      </c>
      <c r="F69" s="66"/>
      <c r="G69" s="66"/>
      <c r="H69" s="25"/>
      <c r="I69" s="4"/>
    </row>
    <row r="70" spans="1:9" x14ac:dyDescent="0.25">
      <c r="A70" s="61"/>
      <c r="B70" s="92" t="s">
        <v>180</v>
      </c>
      <c r="F70" s="66">
        <v>31839.67</v>
      </c>
      <c r="G70" s="66">
        <v>31839.67</v>
      </c>
      <c r="H70" s="25">
        <v>27657.040000000001</v>
      </c>
      <c r="I70" s="4">
        <f>SUM(H70/G70)*100</f>
        <v>86.86346309493787</v>
      </c>
    </row>
    <row r="71" spans="1:9" x14ac:dyDescent="0.25">
      <c r="A71" s="61"/>
      <c r="B71" s="92" t="s">
        <v>181</v>
      </c>
      <c r="F71" s="103">
        <v>104000</v>
      </c>
      <c r="G71" s="103">
        <v>104000</v>
      </c>
      <c r="H71" s="65">
        <v>101673.48</v>
      </c>
      <c r="I71" s="4">
        <f>SUM(H71/G71)*100</f>
        <v>97.762961538461539</v>
      </c>
    </row>
    <row r="72" spans="1:9" x14ac:dyDescent="0.25">
      <c r="A72" s="61"/>
      <c r="B72" s="55" t="s">
        <v>147</v>
      </c>
      <c r="C72" s="158"/>
      <c r="D72" s="158"/>
      <c r="E72" s="158"/>
      <c r="F72" s="160">
        <f>SUM(F73:F74)</f>
        <v>606.70000000000005</v>
      </c>
      <c r="G72" s="160">
        <f>SUM(G73:G74)</f>
        <v>606.70000000000005</v>
      </c>
      <c r="H72" s="160">
        <f>SUM(H73:H74)</f>
        <v>606.70000000000005</v>
      </c>
      <c r="I72" s="171">
        <f>SUM(H72/G72)*100</f>
        <v>100</v>
      </c>
    </row>
    <row r="73" spans="1:9" x14ac:dyDescent="0.25">
      <c r="A73" s="61"/>
      <c r="B73" s="92" t="s">
        <v>182</v>
      </c>
      <c r="F73" s="25">
        <v>606.70000000000005</v>
      </c>
      <c r="G73" s="25">
        <v>606.70000000000005</v>
      </c>
      <c r="H73" s="67">
        <v>606.70000000000005</v>
      </c>
      <c r="I73" s="67">
        <f>SUM(H73/G73)*100</f>
        <v>100</v>
      </c>
    </row>
    <row r="74" spans="1:9" x14ac:dyDescent="0.25">
      <c r="A74" s="61"/>
      <c r="B74" s="92" t="s">
        <v>183</v>
      </c>
      <c r="F74" s="71"/>
      <c r="G74" s="71"/>
      <c r="H74" s="63"/>
      <c r="I74" s="71"/>
    </row>
    <row r="75" spans="1:9" x14ac:dyDescent="0.25">
      <c r="A75" s="61"/>
      <c r="B75" s="92" t="s">
        <v>184</v>
      </c>
      <c r="F75" s="25"/>
      <c r="G75" s="25"/>
      <c r="H75" s="25"/>
      <c r="I75" s="76"/>
    </row>
    <row r="76" spans="1:9" x14ac:dyDescent="0.25">
      <c r="A76" s="61"/>
      <c r="B76" s="55" t="s">
        <v>160</v>
      </c>
      <c r="C76" s="158"/>
      <c r="D76" s="158"/>
      <c r="E76" s="158"/>
      <c r="F76" s="162">
        <f>SUM(F77)</f>
        <v>0</v>
      </c>
      <c r="G76" s="162">
        <f>SUM(G77)</f>
        <v>0</v>
      </c>
      <c r="H76" s="162">
        <f>SUM(H77)</f>
        <v>0</v>
      </c>
      <c r="I76" s="172"/>
    </row>
    <row r="77" spans="1:9" x14ac:dyDescent="0.25">
      <c r="A77" s="61"/>
      <c r="B77" s="92" t="s">
        <v>161</v>
      </c>
      <c r="F77" s="74"/>
      <c r="G77" s="74"/>
      <c r="H77" s="72"/>
      <c r="I77" s="25"/>
    </row>
    <row r="78" spans="1:9" x14ac:dyDescent="0.25">
      <c r="A78" s="61"/>
      <c r="B78" s="55" t="s">
        <v>185</v>
      </c>
      <c r="C78" s="158"/>
      <c r="D78" s="158"/>
      <c r="E78" s="158"/>
      <c r="F78" s="163"/>
      <c r="G78" s="163"/>
      <c r="H78" s="162"/>
      <c r="I78" s="162"/>
    </row>
    <row r="79" spans="1:9" x14ac:dyDescent="0.25">
      <c r="A79" s="61"/>
      <c r="B79" s="92" t="s">
        <v>186</v>
      </c>
      <c r="F79" s="72"/>
      <c r="G79" s="72"/>
      <c r="H79" s="72"/>
      <c r="I79" s="61"/>
    </row>
    <row r="80" spans="1:9" x14ac:dyDescent="0.25">
      <c r="A80" s="61"/>
      <c r="B80" s="55" t="s">
        <v>162</v>
      </c>
      <c r="C80" s="158"/>
      <c r="D80" s="158"/>
      <c r="E80" s="158"/>
      <c r="F80" s="162">
        <f>SUM(F81)</f>
        <v>827.97</v>
      </c>
      <c r="G80" s="162">
        <f>SUM(G81)</f>
        <v>827.97</v>
      </c>
      <c r="H80" s="162">
        <f>SUM(H81)</f>
        <v>785.91</v>
      </c>
      <c r="I80" s="169">
        <f>SUM(H80/G80)*100</f>
        <v>94.920105800934806</v>
      </c>
    </row>
    <row r="81" spans="1:9" x14ac:dyDescent="0.25">
      <c r="A81" s="61"/>
      <c r="B81" s="92" t="s">
        <v>187</v>
      </c>
      <c r="F81" s="25">
        <v>827.97</v>
      </c>
      <c r="G81" s="25">
        <v>827.97</v>
      </c>
      <c r="H81" s="25">
        <v>785.91</v>
      </c>
      <c r="I81" s="4">
        <f>SUM(H81/G81)*100</f>
        <v>94.920105800934806</v>
      </c>
    </row>
    <row r="82" spans="1:9" ht="24.75" x14ac:dyDescent="0.25">
      <c r="A82" s="61"/>
      <c r="B82" s="54" t="s">
        <v>188</v>
      </c>
      <c r="F82" s="106">
        <f>SUM(F83+F85)</f>
        <v>232.46</v>
      </c>
      <c r="G82" s="106">
        <f>SUM(G83+G85)</f>
        <v>232.46</v>
      </c>
      <c r="H82" s="106">
        <f>SUM(H83+H85)</f>
        <v>0</v>
      </c>
      <c r="I82" s="25"/>
    </row>
    <row r="83" spans="1:9" x14ac:dyDescent="0.25">
      <c r="A83" s="61"/>
      <c r="B83" s="55" t="s">
        <v>147</v>
      </c>
      <c r="C83" s="158"/>
      <c r="D83" s="158"/>
      <c r="E83" s="158"/>
      <c r="F83" s="164">
        <v>93</v>
      </c>
      <c r="G83" s="164">
        <v>93</v>
      </c>
      <c r="H83" s="165"/>
      <c r="I83" s="162"/>
    </row>
    <row r="84" spans="1:9" x14ac:dyDescent="0.25">
      <c r="A84" s="61"/>
      <c r="B84" s="92" t="s">
        <v>168</v>
      </c>
      <c r="F84" s="75">
        <v>93</v>
      </c>
      <c r="G84" s="75">
        <v>93</v>
      </c>
      <c r="H84" s="72"/>
      <c r="I84" s="61"/>
    </row>
    <row r="85" spans="1:9" x14ac:dyDescent="0.25">
      <c r="A85" s="61"/>
      <c r="B85" s="55" t="s">
        <v>162</v>
      </c>
      <c r="C85" s="158"/>
      <c r="D85" s="158"/>
      <c r="E85" s="158"/>
      <c r="F85" s="166">
        <v>139.46</v>
      </c>
      <c r="G85" s="166">
        <v>139.46</v>
      </c>
      <c r="H85" s="167"/>
      <c r="I85" s="172"/>
    </row>
    <row r="86" spans="1:9" x14ac:dyDescent="0.25">
      <c r="A86" s="61"/>
      <c r="B86" s="92" t="s">
        <v>189</v>
      </c>
      <c r="F86" s="67">
        <v>139.46</v>
      </c>
      <c r="G86" s="67">
        <v>139.46</v>
      </c>
      <c r="H86" s="67"/>
      <c r="I86" s="67"/>
    </row>
    <row r="87" spans="1:9" x14ac:dyDescent="0.25">
      <c r="A87" s="61"/>
      <c r="B87" s="55" t="s">
        <v>125</v>
      </c>
      <c r="F87" s="105">
        <f>SUM(F88+F95+F106)</f>
        <v>11801.560000000001</v>
      </c>
      <c r="G87" s="105">
        <f>SUM(G88+G95+G106)</f>
        <v>11801.560000000001</v>
      </c>
      <c r="H87" s="105">
        <f>SUM(H88+H95+H106)</f>
        <v>15982.240000000002</v>
      </c>
      <c r="I87" s="101">
        <f t="shared" ref="I87:I92" si="3">SUM(H87/G87)*100</f>
        <v>135.42480824568955</v>
      </c>
    </row>
    <row r="88" spans="1:9" x14ac:dyDescent="0.25">
      <c r="A88" s="61"/>
      <c r="B88" s="56" t="s">
        <v>126</v>
      </c>
      <c r="F88" s="102">
        <v>1500</v>
      </c>
      <c r="G88" s="102">
        <v>1500</v>
      </c>
      <c r="H88" s="104">
        <v>1500</v>
      </c>
      <c r="I88" s="101">
        <f t="shared" si="3"/>
        <v>100</v>
      </c>
    </row>
    <row r="89" spans="1:9" x14ac:dyDescent="0.25">
      <c r="A89" s="61"/>
      <c r="B89" s="54" t="s">
        <v>151</v>
      </c>
      <c r="F89" s="102"/>
      <c r="G89" s="102"/>
      <c r="H89" s="104"/>
      <c r="I89" s="101"/>
    </row>
    <row r="90" spans="1:9" x14ac:dyDescent="0.25">
      <c r="A90" s="61"/>
      <c r="B90" s="55" t="s">
        <v>147</v>
      </c>
      <c r="C90" s="158"/>
      <c r="D90" s="158"/>
      <c r="E90" s="158"/>
      <c r="F90" s="160">
        <f>SUM(F91:F94)</f>
        <v>1500</v>
      </c>
      <c r="G90" s="160">
        <f>SUM(G91:G94)</f>
        <v>1500</v>
      </c>
      <c r="H90" s="160">
        <f>SUM(H91:H94)</f>
        <v>1500</v>
      </c>
      <c r="I90" s="170">
        <f t="shared" si="3"/>
        <v>100</v>
      </c>
    </row>
    <row r="91" spans="1:9" x14ac:dyDescent="0.25">
      <c r="A91" s="61"/>
      <c r="B91" s="92" t="s">
        <v>190</v>
      </c>
      <c r="F91" s="71">
        <v>400</v>
      </c>
      <c r="G91" s="71">
        <v>400</v>
      </c>
      <c r="H91" s="71">
        <v>399.93</v>
      </c>
      <c r="I91" s="4">
        <f t="shared" si="3"/>
        <v>99.982500000000002</v>
      </c>
    </row>
    <row r="92" spans="1:9" x14ac:dyDescent="0.25">
      <c r="A92" s="61"/>
      <c r="B92" s="92" t="s">
        <v>158</v>
      </c>
      <c r="F92" s="25">
        <v>1100</v>
      </c>
      <c r="G92" s="25">
        <v>1100</v>
      </c>
      <c r="H92" s="25">
        <v>1100.07</v>
      </c>
      <c r="I92" s="4">
        <f t="shared" si="3"/>
        <v>100.00636363636363</v>
      </c>
    </row>
    <row r="93" spans="1:9" x14ac:dyDescent="0.25">
      <c r="A93" s="61"/>
      <c r="B93" s="92" t="s">
        <v>172</v>
      </c>
      <c r="F93" s="25"/>
      <c r="G93" s="25"/>
      <c r="H93" s="25"/>
      <c r="I93" s="67"/>
    </row>
    <row r="94" spans="1:9" x14ac:dyDescent="0.25">
      <c r="A94" s="61"/>
      <c r="B94" s="92" t="s">
        <v>174</v>
      </c>
      <c r="F94" s="71"/>
      <c r="G94" s="71"/>
      <c r="H94" s="71"/>
      <c r="I94" s="61"/>
    </row>
    <row r="95" spans="1:9" x14ac:dyDescent="0.25">
      <c r="A95" s="61"/>
      <c r="B95" s="56" t="s">
        <v>127</v>
      </c>
      <c r="F95" s="102">
        <f>SUM(F97+F101)</f>
        <v>10198.060000000001</v>
      </c>
      <c r="G95" s="102">
        <f>SUM(G97+G101)</f>
        <v>10198.060000000001</v>
      </c>
      <c r="H95" s="102">
        <f>SUM(H97+H101)</f>
        <v>14379.240000000002</v>
      </c>
      <c r="I95" s="4">
        <f t="shared" ref="I95" si="4">SUM(H95/G95)*100</f>
        <v>140.99975877764987</v>
      </c>
    </row>
    <row r="96" spans="1:9" x14ac:dyDescent="0.25">
      <c r="A96" s="61"/>
      <c r="B96" s="54" t="s">
        <v>151</v>
      </c>
      <c r="F96" s="102"/>
      <c r="G96" s="102"/>
      <c r="H96" s="102"/>
      <c r="I96" s="101"/>
    </row>
    <row r="97" spans="1:9" x14ac:dyDescent="0.25">
      <c r="A97" s="61"/>
      <c r="B97" s="55" t="s">
        <v>177</v>
      </c>
      <c r="C97" s="158"/>
      <c r="D97" s="158"/>
      <c r="E97" s="158"/>
      <c r="F97" s="160">
        <f>SUM(F98:F100)</f>
        <v>6087.96</v>
      </c>
      <c r="G97" s="160">
        <f>SUM(G98:G100)</f>
        <v>6087.96</v>
      </c>
      <c r="H97" s="160">
        <f>SUM(H98:H100)</f>
        <v>6087.96</v>
      </c>
      <c r="I97" s="170">
        <f t="shared" ref="I97:I105" si="5">SUM(H97/G97)*100</f>
        <v>100</v>
      </c>
    </row>
    <row r="98" spans="1:9" x14ac:dyDescent="0.25">
      <c r="A98" s="61"/>
      <c r="B98" s="92" t="s">
        <v>178</v>
      </c>
      <c r="F98" s="25">
        <v>6087.96</v>
      </c>
      <c r="G98" s="25">
        <v>6087.96</v>
      </c>
      <c r="H98" s="25">
        <v>6087.96</v>
      </c>
      <c r="I98" s="4">
        <f t="shared" si="5"/>
        <v>100</v>
      </c>
    </row>
    <row r="99" spans="1:9" x14ac:dyDescent="0.25">
      <c r="A99" s="61"/>
      <c r="B99" s="92" t="s">
        <v>180</v>
      </c>
      <c r="F99" s="25"/>
      <c r="G99" s="25"/>
      <c r="H99" s="107"/>
      <c r="I99" s="4"/>
    </row>
    <row r="100" spans="1:9" x14ac:dyDescent="0.25">
      <c r="A100" s="61"/>
      <c r="B100" s="54" t="s">
        <v>176</v>
      </c>
      <c r="F100" s="66"/>
      <c r="G100" s="66"/>
      <c r="H100" s="25"/>
      <c r="I100" s="4"/>
    </row>
    <row r="101" spans="1:9" x14ac:dyDescent="0.25">
      <c r="A101" s="61"/>
      <c r="B101" s="55" t="s">
        <v>177</v>
      </c>
      <c r="C101" s="158"/>
      <c r="D101" s="158"/>
      <c r="E101" s="158"/>
      <c r="F101" s="167">
        <f>SUM(F102:F105)</f>
        <v>4110.1000000000004</v>
      </c>
      <c r="G101" s="167">
        <f>SUM(G102:G105)</f>
        <v>4110.1000000000004</v>
      </c>
      <c r="H101" s="167">
        <f>SUM(H102:H105)</f>
        <v>8291.2800000000007</v>
      </c>
      <c r="I101" s="169">
        <f t="shared" si="5"/>
        <v>201.72939831147661</v>
      </c>
    </row>
    <row r="102" spans="1:9" x14ac:dyDescent="0.25">
      <c r="A102" s="61"/>
      <c r="B102" s="92" t="s">
        <v>178</v>
      </c>
      <c r="F102" s="25">
        <f>SUM(699.22+617.28+404.13)</f>
        <v>1720.63</v>
      </c>
      <c r="G102" s="25">
        <f>SUM(699.22+617.28+404.13)</f>
        <v>1720.63</v>
      </c>
      <c r="H102" s="25">
        <f>SUM(699.22+3857.33+404.13)</f>
        <v>4960.68</v>
      </c>
      <c r="I102" s="4">
        <f t="shared" si="5"/>
        <v>288.30602744343639</v>
      </c>
    </row>
    <row r="103" spans="1:9" x14ac:dyDescent="0.25">
      <c r="A103" s="61"/>
      <c r="B103" s="92" t="s">
        <v>180</v>
      </c>
      <c r="F103" s="71">
        <v>700</v>
      </c>
      <c r="G103" s="71">
        <v>700</v>
      </c>
      <c r="H103" s="71">
        <v>1100</v>
      </c>
      <c r="I103" s="4">
        <f t="shared" si="5"/>
        <v>157.14285714285714</v>
      </c>
    </row>
    <row r="104" spans="1:9" x14ac:dyDescent="0.25">
      <c r="A104" s="61"/>
      <c r="B104" s="92" t="s">
        <v>181</v>
      </c>
      <c r="F104" s="25">
        <f>SUM(889.96+358.91)</f>
        <v>1248.8700000000001</v>
      </c>
      <c r="G104" s="25">
        <f>SUM(889.96+358.91)</f>
        <v>1248.8700000000001</v>
      </c>
      <c r="H104" s="25">
        <f>SUM(1825.51-2.48)</f>
        <v>1823.03</v>
      </c>
      <c r="I104" s="4">
        <f t="shared" si="5"/>
        <v>145.97436082218326</v>
      </c>
    </row>
    <row r="105" spans="1:9" x14ac:dyDescent="0.25">
      <c r="A105" s="61"/>
      <c r="B105" s="92" t="s">
        <v>165</v>
      </c>
      <c r="F105" s="71">
        <f>SUM(315.89+124.71)</f>
        <v>440.59999999999997</v>
      </c>
      <c r="G105" s="71">
        <f>SUM(315.89+124.71)</f>
        <v>440.59999999999997</v>
      </c>
      <c r="H105" s="71">
        <f>SUM(415.04-7.47)</f>
        <v>407.57</v>
      </c>
      <c r="I105" s="4">
        <f t="shared" si="5"/>
        <v>92.503404448479358</v>
      </c>
    </row>
    <row r="106" spans="1:9" x14ac:dyDescent="0.25">
      <c r="A106" s="61"/>
      <c r="B106" s="56" t="s">
        <v>191</v>
      </c>
      <c r="F106" s="25">
        <v>103.5</v>
      </c>
      <c r="G106" s="25">
        <v>103.5</v>
      </c>
      <c r="H106" s="25">
        <v>103</v>
      </c>
      <c r="I106" s="33">
        <v>100</v>
      </c>
    </row>
    <row r="107" spans="1:9" x14ac:dyDescent="0.25">
      <c r="A107" s="61"/>
      <c r="B107" s="54" t="s">
        <v>176</v>
      </c>
      <c r="F107" s="25">
        <v>103.5</v>
      </c>
      <c r="G107" s="25">
        <v>103.5</v>
      </c>
      <c r="H107" s="25">
        <v>103</v>
      </c>
      <c r="I107" s="33">
        <v>100</v>
      </c>
    </row>
    <row r="108" spans="1:9" x14ac:dyDescent="0.25">
      <c r="A108" s="61"/>
      <c r="B108" s="54" t="s">
        <v>192</v>
      </c>
      <c r="F108" s="25">
        <v>103.5</v>
      </c>
      <c r="G108" s="25">
        <v>103.5</v>
      </c>
      <c r="H108" s="25">
        <v>103</v>
      </c>
      <c r="I108" s="33">
        <v>100</v>
      </c>
    </row>
    <row r="109" spans="1:9" x14ac:dyDescent="0.25">
      <c r="A109" s="61"/>
      <c r="B109" s="92" t="s">
        <v>193</v>
      </c>
      <c r="F109" s="25">
        <v>103.5</v>
      </c>
      <c r="G109" s="25">
        <v>103.5</v>
      </c>
      <c r="H109" s="25">
        <v>103</v>
      </c>
      <c r="I109" s="33">
        <v>100</v>
      </c>
    </row>
  </sheetData>
  <mergeCells count="4">
    <mergeCell ref="B4:I4"/>
    <mergeCell ref="B6:E6"/>
    <mergeCell ref="B7:E7"/>
    <mergeCell ref="B2:I2"/>
  </mergeCells>
  <pageMargins left="0.7" right="0.7" top="0.75" bottom="0.75" header="0.3" footer="0.3"/>
  <pageSetup paperSize="9" scale="4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2</vt:i4>
      </vt:variant>
    </vt:vector>
  </HeadingPairs>
  <TitlesOfParts>
    <vt:vector size="11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Izvještaj po organizacijskoj </vt:lpstr>
      <vt:lpstr>Izvještaj po programskoj</vt:lpstr>
      <vt:lpstr>List1</vt:lpstr>
      <vt:lpstr>' Račun prihoda i rashoda'!Podrucje_ispisa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Dolores</cp:lastModifiedBy>
  <cp:lastPrinted>2025-03-31T07:51:10Z</cp:lastPrinted>
  <dcterms:created xsi:type="dcterms:W3CDTF">2022-08-12T12:51:27Z</dcterms:created>
  <dcterms:modified xsi:type="dcterms:W3CDTF">2025-03-31T07:53:30Z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